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i\Documents\学校関係\授業関係\2020\CADⅡ\GitHub\"/>
    </mc:Choice>
  </mc:AlternateContent>
  <xr:revisionPtr revIDLastSave="0" documentId="13_ncr:1_{1D08F5EF-9A4E-4E9F-A141-54D89412F4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章" sheetId="25" r:id="rId1"/>
    <sheet name="3章" sheetId="2" r:id="rId2"/>
    <sheet name="4,5章" sheetId="3" r:id="rId3"/>
    <sheet name="6章" sheetId="7" r:id="rId4"/>
    <sheet name="例題7.1~7.4" sheetId="4" r:id="rId5"/>
    <sheet name="例題7.5" sheetId="5" r:id="rId6"/>
    <sheet name="例題7.6~7.8" sheetId="6" r:id="rId7"/>
    <sheet name="第Ⅰ軸,第Ⅱ軸" sheetId="10" r:id="rId8"/>
    <sheet name="第Ⅲ軸" sheetId="11" r:id="rId9"/>
    <sheet name="自重" sheetId="12" r:id="rId10"/>
    <sheet name="クランクアーム" sheetId="13" r:id="rId11"/>
    <sheet name="9章" sheetId="28" r:id="rId12"/>
    <sheet name="A歯車&amp;C歯車" sheetId="14" r:id="rId13"/>
    <sheet name="B歯車" sheetId="15" r:id="rId14"/>
    <sheet name="D歯車" sheetId="16" r:id="rId15"/>
    <sheet name="例題11.1" sheetId="17" r:id="rId16"/>
    <sheet name="例題11.2" sheetId="27" r:id="rId17"/>
    <sheet name="例題11.3" sheetId="18" r:id="rId18"/>
    <sheet name="教科書付表" sheetId="20" r:id="rId19"/>
    <sheet name="教科書掲載表" sheetId="26" r:id="rId20"/>
    <sheet name="自動化シート" sheetId="21" r:id="rId21"/>
    <sheet name="リリースノート" sheetId="8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6" i="21" l="1"/>
  <c r="O56" i="21"/>
  <c r="P35" i="21"/>
  <c r="AA3" i="21"/>
  <c r="AF98" i="21"/>
  <c r="A26" i="15" l="1"/>
  <c r="AF105" i="21" l="1"/>
  <c r="AK105" i="21" s="1"/>
  <c r="AK104" i="21"/>
  <c r="AJ104" i="21"/>
  <c r="AF104" i="21"/>
  <c r="AI104" i="21" s="1"/>
  <c r="AK103" i="21"/>
  <c r="AJ103" i="21"/>
  <c r="AI103" i="21"/>
  <c r="AH103" i="21"/>
  <c r="AF103" i="21"/>
  <c r="AG103" i="21" s="1"/>
  <c r="AF102" i="21"/>
  <c r="AK102" i="21" s="1"/>
  <c r="AF101" i="21"/>
  <c r="AK101" i="21" s="1"/>
  <c r="AK100" i="21"/>
  <c r="AJ100" i="21"/>
  <c r="AF100" i="21"/>
  <c r="AI100" i="21" s="1"/>
  <c r="AE98" i="21"/>
  <c r="AE101" i="21"/>
  <c r="AL97" i="21"/>
  <c r="AK97" i="21"/>
  <c r="AJ97" i="21"/>
  <c r="AI97" i="21"/>
  <c r="AH97" i="21"/>
  <c r="AG97" i="21"/>
  <c r="AE167" i="21"/>
  <c r="AE166" i="21"/>
  <c r="AE165" i="21"/>
  <c r="AE164" i="21"/>
  <c r="AE163" i="21"/>
  <c r="AE162" i="21"/>
  <c r="AE161" i="21"/>
  <c r="AE160" i="21"/>
  <c r="AE159" i="21"/>
  <c r="AE158" i="21"/>
  <c r="AE157" i="21"/>
  <c r="AE156" i="21"/>
  <c r="AE155" i="21"/>
  <c r="AE154" i="21"/>
  <c r="AE153" i="21"/>
  <c r="AE152" i="21"/>
  <c r="AE151" i="21"/>
  <c r="AE150" i="21"/>
  <c r="AE149" i="21"/>
  <c r="AE148" i="21"/>
  <c r="AE147" i="21"/>
  <c r="AE146" i="21"/>
  <c r="AE145" i="21"/>
  <c r="AE144" i="21"/>
  <c r="AE143" i="21"/>
  <c r="AE142" i="21"/>
  <c r="AE141" i="21"/>
  <c r="AE140" i="21"/>
  <c r="AE139" i="21"/>
  <c r="AE138" i="21"/>
  <c r="AE137" i="21"/>
  <c r="AE135" i="21"/>
  <c r="AE134" i="21"/>
  <c r="AE133" i="21"/>
  <c r="AE132" i="21"/>
  <c r="AE131" i="21"/>
  <c r="AE130" i="21"/>
  <c r="AE129" i="21"/>
  <c r="AE128" i="21"/>
  <c r="AE127" i="21"/>
  <c r="AE126" i="21"/>
  <c r="AE125" i="21"/>
  <c r="AE124" i="21"/>
  <c r="AE123" i="21"/>
  <c r="AE122" i="21"/>
  <c r="AE121" i="21"/>
  <c r="AE120" i="21"/>
  <c r="AE119" i="21"/>
  <c r="AE118" i="21"/>
  <c r="AD118" i="21"/>
  <c r="AE116" i="21"/>
  <c r="AA116" i="21"/>
  <c r="Z168" i="21"/>
  <c r="Z167" i="21"/>
  <c r="Z166" i="21"/>
  <c r="Z165" i="21"/>
  <c r="Z164" i="21"/>
  <c r="Z163" i="21"/>
  <c r="Z162" i="21"/>
  <c r="Z161" i="21"/>
  <c r="Z160" i="21"/>
  <c r="Z159" i="21"/>
  <c r="Z158" i="21"/>
  <c r="Z157" i="21"/>
  <c r="Z156" i="21"/>
  <c r="Z155" i="21"/>
  <c r="Z154" i="21"/>
  <c r="Z153" i="21"/>
  <c r="Z152" i="21"/>
  <c r="Z151" i="21"/>
  <c r="Z150" i="21"/>
  <c r="Z149" i="21"/>
  <c r="Z148" i="21"/>
  <c r="Z147" i="21"/>
  <c r="Z146" i="21"/>
  <c r="Z145" i="21"/>
  <c r="Z144" i="21"/>
  <c r="AA168" i="21"/>
  <c r="AA167" i="21"/>
  <c r="AA166" i="21"/>
  <c r="AA165" i="21"/>
  <c r="AA164" i="21"/>
  <c r="AA163" i="21"/>
  <c r="AA162" i="21"/>
  <c r="AA161" i="21"/>
  <c r="AA160" i="21"/>
  <c r="AA159" i="21"/>
  <c r="AA158" i="21"/>
  <c r="AA157" i="21"/>
  <c r="AA156" i="21"/>
  <c r="AA155" i="21"/>
  <c r="AA154" i="21"/>
  <c r="AA153" i="21"/>
  <c r="AA152" i="21"/>
  <c r="AA151" i="21"/>
  <c r="AA150" i="21"/>
  <c r="AA149" i="21"/>
  <c r="AA148" i="21"/>
  <c r="AA147" i="21"/>
  <c r="AA146" i="21"/>
  <c r="AA145" i="21"/>
  <c r="AA144" i="21"/>
  <c r="AA143" i="21"/>
  <c r="AA142" i="21"/>
  <c r="AA141" i="21"/>
  <c r="AA140" i="21"/>
  <c r="AA139" i="21"/>
  <c r="AA138" i="21"/>
  <c r="AA137" i="21"/>
  <c r="AA136" i="21"/>
  <c r="AE136" i="21" s="1"/>
  <c r="AA135" i="21"/>
  <c r="AA134" i="21"/>
  <c r="AA133" i="21"/>
  <c r="AA132" i="21"/>
  <c r="AA131" i="21"/>
  <c r="AA130" i="21"/>
  <c r="AA129" i="21"/>
  <c r="AA128" i="21"/>
  <c r="AA127" i="21"/>
  <c r="AA126" i="21"/>
  <c r="AA125" i="21"/>
  <c r="AA124" i="21"/>
  <c r="AA123" i="21"/>
  <c r="AA122" i="21"/>
  <c r="AA121" i="21"/>
  <c r="AA120" i="21"/>
  <c r="AA119" i="21"/>
  <c r="AA118" i="21"/>
  <c r="AG105" i="21" l="1"/>
  <c r="AG102" i="21"/>
  <c r="AE105" i="21"/>
  <c r="AH102" i="21"/>
  <c r="AH101" i="21"/>
  <c r="AJ102" i="21"/>
  <c r="AH105" i="21"/>
  <c r="AI102" i="21"/>
  <c r="AG100" i="21"/>
  <c r="AI101" i="21"/>
  <c r="AG104" i="21"/>
  <c r="AI105" i="21"/>
  <c r="AH100" i="21"/>
  <c r="AJ101" i="21"/>
  <c r="AH104" i="21"/>
  <c r="AJ105" i="21"/>
  <c r="AG101" i="21"/>
  <c r="AE100" i="21"/>
  <c r="AG98" i="21" a="1"/>
  <c r="AE104" i="21"/>
  <c r="AE103" i="21"/>
  <c r="AE102" i="21"/>
  <c r="AG98" i="21" l="1"/>
  <c r="A6" i="4" s="1"/>
  <c r="A16" i="4"/>
  <c r="AJ2" i="21"/>
  <c r="AS27" i="21"/>
  <c r="W3" i="21"/>
  <c r="X3" i="21"/>
  <c r="T3" i="21" l="1"/>
  <c r="U3" i="21"/>
  <c r="AH75" i="21"/>
  <c r="AI75" i="21" s="1"/>
  <c r="AJ75" i="21" s="1"/>
  <c r="AK75" i="21" s="1"/>
  <c r="AL75" i="21" s="1"/>
  <c r="AM75" i="21" s="1"/>
  <c r="AN75" i="21" s="1"/>
  <c r="AO75" i="21" s="1"/>
  <c r="T95" i="21"/>
  <c r="U95" i="21" s="1"/>
  <c r="V95" i="21" s="1"/>
  <c r="W95" i="21" s="1"/>
  <c r="X95" i="21" s="1"/>
  <c r="Y95" i="21" s="1"/>
  <c r="Z95" i="21" s="1"/>
  <c r="AA95" i="21" s="1"/>
  <c r="AB95" i="21" s="1"/>
  <c r="S95" i="21"/>
  <c r="B8" i="27" l="1"/>
  <c r="S210" i="21"/>
  <c r="S209" i="21"/>
  <c r="S208" i="21"/>
  <c r="S207" i="21"/>
  <c r="S206" i="21"/>
  <c r="S205" i="21"/>
  <c r="S204" i="21"/>
  <c r="S203" i="21"/>
  <c r="S202" i="21"/>
  <c r="S201" i="21"/>
  <c r="S200" i="21"/>
  <c r="S199" i="21"/>
  <c r="S198" i="21"/>
  <c r="S197" i="21"/>
  <c r="S196" i="21"/>
  <c r="S195" i="21"/>
  <c r="S194" i="21"/>
  <c r="S193" i="21"/>
  <c r="S192" i="21"/>
  <c r="S191" i="21"/>
  <c r="S190" i="21"/>
  <c r="S189" i="21"/>
  <c r="S188" i="21"/>
  <c r="S187" i="21"/>
  <c r="S186" i="21"/>
  <c r="S185" i="21"/>
  <c r="S184" i="21"/>
  <c r="S183" i="21"/>
  <c r="S182" i="21"/>
  <c r="S181" i="21"/>
  <c r="S180" i="21"/>
  <c r="S179" i="21"/>
  <c r="S178" i="21"/>
  <c r="S177" i="21"/>
  <c r="S176" i="21"/>
  <c r="S175" i="21"/>
  <c r="S174" i="21"/>
  <c r="S173" i="21"/>
  <c r="S172" i="21"/>
  <c r="S171" i="21"/>
  <c r="S170" i="21"/>
  <c r="S169" i="21"/>
  <c r="S168" i="21"/>
  <c r="S167" i="21"/>
  <c r="S166" i="21"/>
  <c r="D8" i="16" l="1"/>
  <c r="D9" i="16" s="1"/>
  <c r="AT110" i="21" l="1"/>
  <c r="AT109" i="21"/>
  <c r="AT108" i="21"/>
  <c r="AT107" i="21"/>
  <c r="AT106" i="21"/>
  <c r="AT105" i="21"/>
  <c r="AT104" i="21"/>
  <c r="AT103" i="21"/>
  <c r="AT102" i="21"/>
  <c r="AT101" i="21"/>
  <c r="AT100" i="21"/>
  <c r="AT99" i="21"/>
  <c r="AT98" i="21"/>
  <c r="AT97" i="21"/>
  <c r="AT96" i="21"/>
  <c r="AT95" i="21"/>
  <c r="AT94" i="21"/>
  <c r="AT93" i="21"/>
  <c r="AT92" i="21"/>
  <c r="AT91" i="21"/>
  <c r="AT90" i="21"/>
  <c r="AT89" i="21"/>
  <c r="AT88" i="21"/>
  <c r="AT87" i="21"/>
  <c r="AT86" i="21"/>
  <c r="AT85" i="21"/>
  <c r="AT84" i="21"/>
  <c r="AT83" i="21"/>
  <c r="AT82" i="21"/>
  <c r="AT81" i="21"/>
  <c r="AT80" i="21"/>
  <c r="AT79" i="21"/>
  <c r="AT78" i="21"/>
  <c r="AT77" i="21"/>
  <c r="AT76" i="21"/>
  <c r="AT75" i="21"/>
  <c r="AT74" i="21"/>
  <c r="AT73" i="21"/>
  <c r="AT72" i="21"/>
  <c r="AT71" i="21"/>
  <c r="AT70" i="21"/>
  <c r="AT69" i="21"/>
  <c r="AT68" i="21"/>
  <c r="AT67" i="21"/>
  <c r="AT66" i="21"/>
  <c r="AT65" i="21"/>
  <c r="AT64" i="21"/>
  <c r="AT63" i="21"/>
  <c r="AT62" i="21"/>
  <c r="AT61" i="21"/>
  <c r="AT60" i="21"/>
  <c r="AT59" i="21"/>
  <c r="AT58" i="21"/>
  <c r="AT57" i="21"/>
  <c r="AS110" i="21"/>
  <c r="AS109" i="21"/>
  <c r="AS108" i="21"/>
  <c r="AS107" i="21"/>
  <c r="AS106" i="21"/>
  <c r="AS105" i="21"/>
  <c r="AS104" i="21"/>
  <c r="AS103" i="21"/>
  <c r="AS102" i="21"/>
  <c r="AS101" i="21"/>
  <c r="AS100" i="21"/>
  <c r="AS99" i="21"/>
  <c r="AS98" i="21"/>
  <c r="AS97" i="21"/>
  <c r="AS96" i="21"/>
  <c r="AS95" i="21"/>
  <c r="AS94" i="21"/>
  <c r="AS93" i="21"/>
  <c r="AS92" i="21"/>
  <c r="AS91" i="21"/>
  <c r="AS90" i="21"/>
  <c r="AS89" i="21"/>
  <c r="AS88" i="21"/>
  <c r="AS87" i="21"/>
  <c r="AS86" i="21"/>
  <c r="AS85" i="21"/>
  <c r="AS84" i="21"/>
  <c r="AS83" i="21"/>
  <c r="AS82" i="21"/>
  <c r="AS81" i="21"/>
  <c r="AS80" i="21"/>
  <c r="AS79" i="21"/>
  <c r="AS78" i="21"/>
  <c r="AS77" i="21"/>
  <c r="AS76" i="21"/>
  <c r="AS75" i="21"/>
  <c r="AS74" i="21"/>
  <c r="AS73" i="21"/>
  <c r="AS72" i="21"/>
  <c r="AS71" i="21"/>
  <c r="AS70" i="21"/>
  <c r="AS69" i="21"/>
  <c r="AS68" i="21"/>
  <c r="AS67" i="21"/>
  <c r="AS66" i="21"/>
  <c r="AS65" i="21"/>
  <c r="AS64" i="21"/>
  <c r="AS63" i="21"/>
  <c r="AS62" i="21"/>
  <c r="AS61" i="21"/>
  <c r="AS60" i="21"/>
  <c r="AS59" i="21"/>
  <c r="AS58" i="21"/>
  <c r="AS57" i="21"/>
  <c r="AT56" i="21"/>
  <c r="AT55" i="21"/>
  <c r="AS56" i="21"/>
  <c r="AS55" i="21"/>
  <c r="G13" i="28" l="1"/>
  <c r="AO84" i="21"/>
  <c r="AO93" i="21" s="1"/>
  <c r="AN84" i="21"/>
  <c r="AN93" i="21" s="1"/>
  <c r="AM84" i="21"/>
  <c r="AM93" i="21" s="1"/>
  <c r="AL84" i="21"/>
  <c r="AL93" i="21" s="1"/>
  <c r="AK84" i="21"/>
  <c r="AK93" i="21" s="1"/>
  <c r="AJ84" i="21"/>
  <c r="AJ93" i="21" s="1"/>
  <c r="AI84" i="21"/>
  <c r="AI93" i="21" s="1"/>
  <c r="AH84" i="21"/>
  <c r="AH93" i="21" s="1"/>
  <c r="AG84" i="21"/>
  <c r="AG93" i="21" s="1"/>
  <c r="AF84" i="21"/>
  <c r="AF93" i="21" s="1"/>
  <c r="AO83" i="21"/>
  <c r="AO92" i="21" s="1"/>
  <c r="AN83" i="21"/>
  <c r="AN92" i="21" s="1"/>
  <c r="AM83" i="21"/>
  <c r="AM92" i="21" s="1"/>
  <c r="AL83" i="21"/>
  <c r="AL92" i="21" s="1"/>
  <c r="AK83" i="21"/>
  <c r="AK92" i="21" s="1"/>
  <c r="AJ83" i="21"/>
  <c r="AJ92" i="21" s="1"/>
  <c r="AI83" i="21"/>
  <c r="AI92" i="21" s="1"/>
  <c r="AH83" i="21"/>
  <c r="AH92" i="21" s="1"/>
  <c r="AG83" i="21"/>
  <c r="AG92" i="21" s="1"/>
  <c r="AF83" i="21"/>
  <c r="AF92" i="21" s="1"/>
  <c r="AO82" i="21"/>
  <c r="AO91" i="21" s="1"/>
  <c r="AN82" i="21"/>
  <c r="AN91" i="21" s="1"/>
  <c r="AM82" i="21"/>
  <c r="AM91" i="21" s="1"/>
  <c r="AL82" i="21"/>
  <c r="AL91" i="21" s="1"/>
  <c r="AK82" i="21"/>
  <c r="AK91" i="21" s="1"/>
  <c r="AJ82" i="21"/>
  <c r="AJ91" i="21" s="1"/>
  <c r="AI82" i="21"/>
  <c r="AI91" i="21" s="1"/>
  <c r="AH82" i="21"/>
  <c r="AH91" i="21" s="1"/>
  <c r="AG82" i="21"/>
  <c r="AG91" i="21" s="1"/>
  <c r="AF82" i="21"/>
  <c r="AF91" i="21" s="1"/>
  <c r="AO81" i="21"/>
  <c r="AO90" i="21" s="1"/>
  <c r="AN81" i="21"/>
  <c r="AN90" i="21" s="1"/>
  <c r="AM81" i="21"/>
  <c r="AM90" i="21" s="1"/>
  <c r="AL81" i="21"/>
  <c r="AL90" i="21" s="1"/>
  <c r="AK81" i="21"/>
  <c r="AK90" i="21" s="1"/>
  <c r="AJ81" i="21"/>
  <c r="AJ90" i="21" s="1"/>
  <c r="AI81" i="21"/>
  <c r="AI90" i="21" s="1"/>
  <c r="AH81" i="21"/>
  <c r="AH90" i="21" s="1"/>
  <c r="AG81" i="21"/>
  <c r="AG90" i="21" s="1"/>
  <c r="AF81" i="21"/>
  <c r="AF90" i="21" s="1"/>
  <c r="AO80" i="21"/>
  <c r="AO89" i="21" s="1"/>
  <c r="AN80" i="21"/>
  <c r="AN89" i="21" s="1"/>
  <c r="AM80" i="21"/>
  <c r="AM89" i="21" s="1"/>
  <c r="AL80" i="21"/>
  <c r="AL89" i="21" s="1"/>
  <c r="AK80" i="21"/>
  <c r="AK89" i="21" s="1"/>
  <c r="AJ80" i="21"/>
  <c r="AJ89" i="21" s="1"/>
  <c r="AI80" i="21"/>
  <c r="AI89" i="21" s="1"/>
  <c r="AH80" i="21"/>
  <c r="AH89" i="21" s="1"/>
  <c r="AG80" i="21"/>
  <c r="AG89" i="21" s="1"/>
  <c r="AF80" i="21"/>
  <c r="AF89" i="21" s="1"/>
  <c r="AO79" i="21"/>
  <c r="AN79" i="21"/>
  <c r="AM79" i="21"/>
  <c r="AL79" i="21"/>
  <c r="AK79" i="21"/>
  <c r="AJ79" i="21"/>
  <c r="AI79" i="21"/>
  <c r="AH79" i="21"/>
  <c r="AG79" i="21"/>
  <c r="AF79" i="21"/>
  <c r="AF88" i="21" s="1"/>
  <c r="B8" i="28"/>
  <c r="G17" i="28"/>
  <c r="G15" i="28"/>
  <c r="G11" i="28"/>
  <c r="G9" i="28"/>
  <c r="G7" i="28"/>
  <c r="G5" i="28"/>
  <c r="G3" i="28"/>
  <c r="G1" i="28"/>
  <c r="AB106" i="21"/>
  <c r="AB104" i="21"/>
  <c r="AB102" i="21"/>
  <c r="AB100" i="21"/>
  <c r="AB99" i="21"/>
  <c r="AB97" i="21" s="1"/>
  <c r="AA107" i="21"/>
  <c r="U107" i="21"/>
  <c r="S107" i="21"/>
  <c r="R107" i="21"/>
  <c r="AA106" i="21"/>
  <c r="Z106" i="21"/>
  <c r="Y106" i="21"/>
  <c r="X106" i="21"/>
  <c r="W106" i="21"/>
  <c r="V106" i="21"/>
  <c r="U106" i="21"/>
  <c r="T106" i="21"/>
  <c r="S106" i="21"/>
  <c r="R106" i="21"/>
  <c r="Y105" i="21"/>
  <c r="W105" i="21"/>
  <c r="R105" i="21"/>
  <c r="AA104" i="21"/>
  <c r="Z104" i="21"/>
  <c r="Y104" i="21"/>
  <c r="X104" i="21"/>
  <c r="W104" i="21"/>
  <c r="V104" i="21"/>
  <c r="U104" i="21"/>
  <c r="T104" i="21"/>
  <c r="S104" i="21"/>
  <c r="R104" i="21"/>
  <c r="AA103" i="21"/>
  <c r="U103" i="21"/>
  <c r="S103" i="21"/>
  <c r="R103" i="21"/>
  <c r="AA102" i="21"/>
  <c r="Z102" i="21"/>
  <c r="Y102" i="21"/>
  <c r="X102" i="21"/>
  <c r="W102" i="21"/>
  <c r="V102" i="21"/>
  <c r="U102" i="21"/>
  <c r="T102" i="21"/>
  <c r="S102" i="21"/>
  <c r="R102" i="21"/>
  <c r="Y101" i="21"/>
  <c r="W101" i="21"/>
  <c r="R101" i="21"/>
  <c r="AA100" i="21"/>
  <c r="Z100" i="21"/>
  <c r="Y100" i="21"/>
  <c r="X100" i="21"/>
  <c r="W100" i="21"/>
  <c r="V100" i="21"/>
  <c r="U100" i="21"/>
  <c r="T100" i="21"/>
  <c r="S100" i="21"/>
  <c r="R100" i="21"/>
  <c r="AA99" i="21"/>
  <c r="AA97" i="21" s="1"/>
  <c r="Z99" i="21"/>
  <c r="Z97" i="21" s="1"/>
  <c r="Y99" i="21"/>
  <c r="Y97" i="21" s="1"/>
  <c r="X99" i="21"/>
  <c r="X97" i="21" s="1"/>
  <c r="W99" i="21"/>
  <c r="W97" i="21" s="1"/>
  <c r="V99" i="21"/>
  <c r="V97" i="21" s="1"/>
  <c r="U99" i="21"/>
  <c r="U97" i="21" s="1"/>
  <c r="T99" i="21"/>
  <c r="T97" i="21" s="1"/>
  <c r="S99" i="21"/>
  <c r="S97" i="21" s="1"/>
  <c r="R99" i="21"/>
  <c r="R97" i="21" s="1"/>
  <c r="Q107" i="21"/>
  <c r="Q106" i="21"/>
  <c r="Q105" i="21"/>
  <c r="Q104" i="21"/>
  <c r="Q103" i="21"/>
  <c r="Q102" i="21"/>
  <c r="Q101" i="21"/>
  <c r="Q100" i="21"/>
  <c r="L89" i="26"/>
  <c r="AB107" i="21" s="1"/>
  <c r="K89" i="26"/>
  <c r="J89" i="26"/>
  <c r="Z107" i="21" s="1"/>
  <c r="I89" i="26"/>
  <c r="Y107" i="21" s="1"/>
  <c r="H89" i="26"/>
  <c r="X107" i="21" s="1"/>
  <c r="G89" i="26"/>
  <c r="W107" i="21" s="1"/>
  <c r="F89" i="26"/>
  <c r="V107" i="21" s="1"/>
  <c r="E89" i="26"/>
  <c r="D89" i="26"/>
  <c r="T107" i="21" s="1"/>
  <c r="C89" i="26"/>
  <c r="L87" i="26"/>
  <c r="AB105" i="21" s="1"/>
  <c r="K87" i="26"/>
  <c r="AA105" i="21" s="1"/>
  <c r="J87" i="26"/>
  <c r="Z105" i="21" s="1"/>
  <c r="I87" i="26"/>
  <c r="H87" i="26"/>
  <c r="X105" i="21" s="1"/>
  <c r="G87" i="26"/>
  <c r="F87" i="26"/>
  <c r="V105" i="21" s="1"/>
  <c r="E87" i="26"/>
  <c r="U105" i="21" s="1"/>
  <c r="D87" i="26"/>
  <c r="T105" i="21" s="1"/>
  <c r="C87" i="26"/>
  <c r="S105" i="21" s="1"/>
  <c r="L85" i="26"/>
  <c r="AB103" i="21" s="1"/>
  <c r="K85" i="26"/>
  <c r="J85" i="26"/>
  <c r="Z103" i="21" s="1"/>
  <c r="I85" i="26"/>
  <c r="Y103" i="21" s="1"/>
  <c r="H85" i="26"/>
  <c r="X103" i="21" s="1"/>
  <c r="G85" i="26"/>
  <c r="W103" i="21" s="1"/>
  <c r="F85" i="26"/>
  <c r="V103" i="21" s="1"/>
  <c r="E85" i="26"/>
  <c r="D85" i="26"/>
  <c r="T103" i="21" s="1"/>
  <c r="C85" i="26"/>
  <c r="L83" i="26"/>
  <c r="AB101" i="21" s="1"/>
  <c r="K83" i="26"/>
  <c r="AA101" i="21" s="1"/>
  <c r="J83" i="26"/>
  <c r="Z101" i="21" s="1"/>
  <c r="I83" i="26"/>
  <c r="H83" i="26"/>
  <c r="X101" i="21" s="1"/>
  <c r="G83" i="26"/>
  <c r="F83" i="26"/>
  <c r="V101" i="21" s="1"/>
  <c r="E83" i="26"/>
  <c r="U101" i="21" s="1"/>
  <c r="D83" i="26"/>
  <c r="T101" i="21" s="1"/>
  <c r="C83" i="26"/>
  <c r="S101" i="21" s="1"/>
  <c r="AG88" i="21" l="1"/>
  <c r="AG77" i="21"/>
  <c r="AG86" i="21" s="1"/>
  <c r="AH88" i="21"/>
  <c r="AH77" i="21"/>
  <c r="AH86" i="21" s="1"/>
  <c r="AI88" i="21"/>
  <c r="AI77" i="21"/>
  <c r="AI86" i="21" s="1"/>
  <c r="AJ88" i="21"/>
  <c r="AJ77" i="21"/>
  <c r="AJ86" i="21" s="1"/>
  <c r="AK88" i="21"/>
  <c r="AK77" i="21"/>
  <c r="AK86" i="21" s="1"/>
  <c r="AL88" i="21"/>
  <c r="AL77" i="21"/>
  <c r="AL86" i="21" s="1"/>
  <c r="AM88" i="21"/>
  <c r="AM77" i="21"/>
  <c r="AM86" i="21" s="1"/>
  <c r="AN88" i="21"/>
  <c r="AN77" i="21"/>
  <c r="AN86" i="21" s="1"/>
  <c r="AO88" i="21"/>
  <c r="AO77" i="21"/>
  <c r="AO86" i="21" s="1"/>
  <c r="D53" i="17"/>
  <c r="D51" i="17"/>
  <c r="D49" i="17"/>
  <c r="J105" i="21" l="1"/>
  <c r="I114" i="21"/>
  <c r="I113" i="21"/>
  <c r="I112" i="21"/>
  <c r="I111" i="21"/>
  <c r="I110" i="21"/>
  <c r="I109" i="21"/>
  <c r="I108" i="21"/>
  <c r="B4" i="18"/>
  <c r="A3" i="18"/>
  <c r="A11" i="27"/>
  <c r="B12" i="27"/>
  <c r="B7" i="27"/>
  <c r="B9" i="27" s="1"/>
  <c r="B11" i="27" s="1"/>
  <c r="A7" i="27"/>
  <c r="B3" i="27"/>
  <c r="B5" i="27" s="1"/>
  <c r="B1" i="27"/>
  <c r="B4" i="27"/>
  <c r="B6" i="27" s="1"/>
  <c r="B629" i="21" l="1"/>
  <c r="AH73" i="21" l="1"/>
  <c r="AG73" i="21"/>
  <c r="AH72" i="21"/>
  <c r="AG72" i="21"/>
  <c r="AH71" i="21"/>
  <c r="AG71" i="21"/>
  <c r="AH70" i="21"/>
  <c r="AG70" i="21"/>
  <c r="AH69" i="21"/>
  <c r="AG69" i="21"/>
  <c r="AH68" i="21"/>
  <c r="AG68" i="21"/>
  <c r="AH67" i="21"/>
  <c r="AG67" i="21"/>
  <c r="AH66" i="21"/>
  <c r="AG66" i="21"/>
  <c r="AH65" i="21"/>
  <c r="AG65" i="21"/>
  <c r="AH64" i="21"/>
  <c r="AG64" i="21"/>
  <c r="AH63" i="21"/>
  <c r="AG63" i="21"/>
  <c r="AH62" i="21"/>
  <c r="AG62" i="21"/>
  <c r="AH61" i="21"/>
  <c r="AG61" i="21"/>
  <c r="AH60" i="21"/>
  <c r="AG60" i="21"/>
  <c r="AH59" i="21"/>
  <c r="AG59" i="21"/>
  <c r="AH58" i="21"/>
  <c r="AG58" i="21"/>
  <c r="AH57" i="21"/>
  <c r="AG57" i="21"/>
  <c r="AH56" i="21"/>
  <c r="AG56" i="21"/>
  <c r="AH55" i="21"/>
  <c r="AI53" i="21" s="1"/>
  <c r="AG55" i="21"/>
  <c r="AH53" i="21" s="1"/>
  <c r="AF55" i="21"/>
  <c r="AG53" i="21" s="1"/>
  <c r="AE55" i="21"/>
  <c r="AF53" i="21" s="1"/>
  <c r="AD55" i="21"/>
  <c r="AE53" i="21" s="1"/>
  <c r="AF73" i="21"/>
  <c r="AF72" i="21"/>
  <c r="AF71" i="21"/>
  <c r="AF70" i="21"/>
  <c r="AF69" i="21"/>
  <c r="AF68" i="21"/>
  <c r="AF67" i="21"/>
  <c r="AF66" i="21"/>
  <c r="AF65" i="21"/>
  <c r="AF64" i="21"/>
  <c r="AF63" i="21"/>
  <c r="AF62" i="21"/>
  <c r="AF61" i="21"/>
  <c r="AF60" i="21"/>
  <c r="AF59" i="21"/>
  <c r="AF58" i="21"/>
  <c r="AF57" i="21"/>
  <c r="AF56" i="21"/>
  <c r="AE73" i="21"/>
  <c r="AE72" i="21"/>
  <c r="AE71" i="21"/>
  <c r="AE70" i="21"/>
  <c r="AE69" i="21"/>
  <c r="AE68" i="21"/>
  <c r="AE67" i="21"/>
  <c r="AE66" i="21"/>
  <c r="AE65" i="21"/>
  <c r="AE64" i="21"/>
  <c r="AE63" i="21"/>
  <c r="AE62" i="21"/>
  <c r="AE61" i="21"/>
  <c r="AE60" i="21"/>
  <c r="AE59" i="21"/>
  <c r="AE58" i="21"/>
  <c r="AE57" i="21"/>
  <c r="AE56" i="21"/>
  <c r="AD73" i="21"/>
  <c r="AD72" i="21"/>
  <c r="AD71" i="21"/>
  <c r="AD70" i="21"/>
  <c r="AD69" i="21"/>
  <c r="AD68" i="21"/>
  <c r="AD67" i="21"/>
  <c r="AD66" i="21"/>
  <c r="AD65" i="21"/>
  <c r="AD64" i="21"/>
  <c r="AD63" i="21"/>
  <c r="AD62" i="21"/>
  <c r="AD61" i="21"/>
  <c r="AD60" i="21"/>
  <c r="AD59" i="21"/>
  <c r="AD58" i="21"/>
  <c r="AD57" i="21"/>
  <c r="AD56" i="21"/>
  <c r="AC53" i="21"/>
  <c r="AU27" i="21"/>
  <c r="AT31" i="21"/>
  <c r="AT30" i="21"/>
  <c r="AO29" i="21"/>
  <c r="AC55" i="21" s="1"/>
  <c r="H186" i="21"/>
  <c r="G186" i="21"/>
  <c r="H185" i="21"/>
  <c r="G185" i="21"/>
  <c r="H184" i="21"/>
  <c r="G184" i="21"/>
  <c r="H183" i="21"/>
  <c r="G183" i="21"/>
  <c r="H182" i="21"/>
  <c r="G182" i="21"/>
  <c r="M173" i="21"/>
  <c r="L173" i="21"/>
  <c r="M172" i="21"/>
  <c r="L172" i="21"/>
  <c r="M171" i="21"/>
  <c r="L171" i="21"/>
  <c r="M170" i="21"/>
  <c r="L170" i="21"/>
  <c r="M169" i="21"/>
  <c r="L169" i="21"/>
  <c r="M168" i="21"/>
  <c r="L168" i="21"/>
  <c r="M167" i="21"/>
  <c r="L167" i="21"/>
  <c r="H174" i="21"/>
  <c r="G174" i="21"/>
  <c r="H173" i="21"/>
  <c r="G173" i="21"/>
  <c r="H172" i="21"/>
  <c r="G172" i="21"/>
  <c r="H171" i="21"/>
  <c r="G171" i="21"/>
  <c r="H170" i="21"/>
  <c r="G170" i="21"/>
  <c r="H169" i="21"/>
  <c r="G169" i="21"/>
  <c r="H168" i="21"/>
  <c r="G168" i="21"/>
  <c r="H167" i="21"/>
  <c r="G167" i="21"/>
  <c r="AJ23" i="26"/>
  <c r="I343" i="21"/>
  <c r="F344" i="21"/>
  <c r="J344" i="21" s="1"/>
  <c r="N344" i="21" s="1"/>
  <c r="R344" i="21" s="1"/>
  <c r="V344" i="21" s="1"/>
  <c r="Z344" i="21" s="1"/>
  <c r="B384" i="21"/>
  <c r="B383" i="21"/>
  <c r="B423" i="21" s="1"/>
  <c r="B382" i="21"/>
  <c r="F382" i="21" s="1"/>
  <c r="J382" i="21" s="1"/>
  <c r="B381" i="21"/>
  <c r="B380" i="21"/>
  <c r="F380" i="21" s="1"/>
  <c r="J380" i="21" s="1"/>
  <c r="B379" i="21"/>
  <c r="B378" i="21"/>
  <c r="F378" i="21" s="1"/>
  <c r="J378" i="21" s="1"/>
  <c r="B377" i="21"/>
  <c r="B376" i="21"/>
  <c r="F376" i="21" s="1"/>
  <c r="J376" i="21" s="1"/>
  <c r="B375" i="21"/>
  <c r="B415" i="21" s="1"/>
  <c r="F415" i="21" s="1"/>
  <c r="J415" i="21" s="1"/>
  <c r="B374" i="21"/>
  <c r="F374" i="21" s="1"/>
  <c r="J374" i="21" s="1"/>
  <c r="B373" i="21"/>
  <c r="B372" i="21"/>
  <c r="B371" i="21"/>
  <c r="B370" i="21"/>
  <c r="F370" i="21" s="1"/>
  <c r="J370" i="21" s="1"/>
  <c r="N370" i="21" s="1"/>
  <c r="R370" i="21" s="1"/>
  <c r="V370" i="21" s="1"/>
  <c r="Z370" i="21" s="1"/>
  <c r="B369" i="21"/>
  <c r="F369" i="21" s="1"/>
  <c r="J369" i="21" s="1"/>
  <c r="B368" i="21"/>
  <c r="B408" i="21" s="1"/>
  <c r="B367" i="21"/>
  <c r="B407" i="21" s="1"/>
  <c r="F407" i="21" s="1"/>
  <c r="J407" i="21" s="1"/>
  <c r="B366" i="21"/>
  <c r="B365" i="21"/>
  <c r="F365" i="21" s="1"/>
  <c r="J365" i="21" s="1"/>
  <c r="B364" i="21"/>
  <c r="B363" i="21"/>
  <c r="B362" i="21"/>
  <c r="F362" i="21" s="1"/>
  <c r="J362" i="21" s="1"/>
  <c r="B361" i="21"/>
  <c r="B360" i="21"/>
  <c r="B400" i="21" s="1"/>
  <c r="B359" i="21"/>
  <c r="B399" i="21" s="1"/>
  <c r="F399" i="21" s="1"/>
  <c r="J399" i="21" s="1"/>
  <c r="B358" i="21"/>
  <c r="F358" i="21" s="1"/>
  <c r="J358" i="21" s="1"/>
  <c r="B357" i="21"/>
  <c r="B397" i="21" s="1"/>
  <c r="B356" i="21"/>
  <c r="B355" i="21"/>
  <c r="B354" i="21"/>
  <c r="F354" i="21" s="1"/>
  <c r="J354" i="21" s="1"/>
  <c r="N354" i="21" s="1"/>
  <c r="R354" i="21" s="1"/>
  <c r="V354" i="21" s="1"/>
  <c r="Z354" i="21" s="1"/>
  <c r="B353" i="21"/>
  <c r="B352" i="21"/>
  <c r="B351" i="21"/>
  <c r="B391" i="21" s="1"/>
  <c r="B350" i="21"/>
  <c r="F350" i="21" s="1"/>
  <c r="J350" i="21" s="1"/>
  <c r="B349" i="21"/>
  <c r="B348" i="21"/>
  <c r="F348" i="21" s="1"/>
  <c r="J348" i="21" s="1"/>
  <c r="B347" i="21"/>
  <c r="B346" i="21"/>
  <c r="B345" i="21"/>
  <c r="A344" i="21"/>
  <c r="E344" i="21" s="1"/>
  <c r="I344" i="21" s="1"/>
  <c r="M344" i="21" s="1"/>
  <c r="Q344" i="21" s="1"/>
  <c r="U344" i="21" s="1"/>
  <c r="Y344" i="21" s="1"/>
  <c r="I197" i="21"/>
  <c r="F199" i="21"/>
  <c r="J199" i="21" s="1"/>
  <c r="E199" i="21"/>
  <c r="I199" i="21" s="1"/>
  <c r="E197" i="21"/>
  <c r="F346" i="21" l="1"/>
  <c r="J346" i="21" s="1"/>
  <c r="N346" i="21" s="1"/>
  <c r="R346" i="21" s="1"/>
  <c r="V346" i="21" s="1"/>
  <c r="Z346" i="21" s="1"/>
  <c r="F361" i="21"/>
  <c r="J361" i="21" s="1"/>
  <c r="N361" i="21" s="1"/>
  <c r="R361" i="21" s="1"/>
  <c r="V361" i="21" s="1"/>
  <c r="Z361" i="21" s="1"/>
  <c r="F366" i="21"/>
  <c r="J366" i="21" s="1"/>
  <c r="B406" i="21"/>
  <c r="N362" i="21"/>
  <c r="R362" i="21" s="1"/>
  <c r="V362" i="21" s="1"/>
  <c r="Z362" i="21" s="1"/>
  <c r="I362" i="21"/>
  <c r="B409" i="21"/>
  <c r="F409" i="21" s="1"/>
  <c r="J409" i="21" s="1"/>
  <c r="F363" i="21"/>
  <c r="J363" i="21" s="1"/>
  <c r="B410" i="21"/>
  <c r="F367" i="21"/>
  <c r="J367" i="21" s="1"/>
  <c r="I367" i="21" s="1"/>
  <c r="B416" i="21"/>
  <c r="B456" i="21" s="1"/>
  <c r="F368" i="21"/>
  <c r="J368" i="21" s="1"/>
  <c r="B417" i="21"/>
  <c r="F347" i="21"/>
  <c r="J347" i="21" s="1"/>
  <c r="I347" i="21" s="1"/>
  <c r="F371" i="21"/>
  <c r="J371" i="21" s="1"/>
  <c r="N371" i="21" s="1"/>
  <c r="R371" i="21" s="1"/>
  <c r="V371" i="21" s="1"/>
  <c r="Z371" i="21" s="1"/>
  <c r="B390" i="21"/>
  <c r="B422" i="21"/>
  <c r="F351" i="21"/>
  <c r="J351" i="21" s="1"/>
  <c r="F375" i="21"/>
  <c r="J375" i="21" s="1"/>
  <c r="N375" i="21" s="1"/>
  <c r="R375" i="21" s="1"/>
  <c r="V375" i="21" s="1"/>
  <c r="Z375" i="21" s="1"/>
  <c r="B394" i="21"/>
  <c r="B434" i="21" s="1"/>
  <c r="B431" i="21"/>
  <c r="F431" i="21" s="1"/>
  <c r="J431" i="21" s="1"/>
  <c r="N431" i="21" s="1"/>
  <c r="R431" i="21" s="1"/>
  <c r="V431" i="21" s="1"/>
  <c r="Z431" i="21" s="1"/>
  <c r="F355" i="21"/>
  <c r="J355" i="21" s="1"/>
  <c r="N355" i="21" s="1"/>
  <c r="R355" i="21" s="1"/>
  <c r="V355" i="21" s="1"/>
  <c r="Z355" i="21" s="1"/>
  <c r="F379" i="21"/>
  <c r="J379" i="21" s="1"/>
  <c r="I379" i="21" s="1"/>
  <c r="B398" i="21"/>
  <c r="B438" i="21" s="1"/>
  <c r="B463" i="21"/>
  <c r="F463" i="21" s="1"/>
  <c r="J463" i="21" s="1"/>
  <c r="N463" i="21" s="1"/>
  <c r="R463" i="21" s="1"/>
  <c r="V463" i="21" s="1"/>
  <c r="Z463" i="21" s="1"/>
  <c r="F359" i="21"/>
  <c r="J359" i="21" s="1"/>
  <c r="I359" i="21" s="1"/>
  <c r="F383" i="21"/>
  <c r="J383" i="21" s="1"/>
  <c r="N383" i="21" s="1"/>
  <c r="R383" i="21" s="1"/>
  <c r="V383" i="21" s="1"/>
  <c r="Z383" i="21" s="1"/>
  <c r="N415" i="21"/>
  <c r="R415" i="21" s="1"/>
  <c r="V415" i="21" s="1"/>
  <c r="Z415" i="21" s="1"/>
  <c r="I415" i="21"/>
  <c r="N367" i="21"/>
  <c r="R367" i="21" s="1"/>
  <c r="V367" i="21" s="1"/>
  <c r="Z367" i="21" s="1"/>
  <c r="B440" i="21"/>
  <c r="F400" i="21"/>
  <c r="J400" i="21" s="1"/>
  <c r="N347" i="21"/>
  <c r="R347" i="21" s="1"/>
  <c r="V347" i="21" s="1"/>
  <c r="Z347" i="21" s="1"/>
  <c r="B388" i="21"/>
  <c r="B405" i="21"/>
  <c r="B421" i="21"/>
  <c r="I375" i="21"/>
  <c r="B389" i="21"/>
  <c r="F422" i="21"/>
  <c r="J422" i="21" s="1"/>
  <c r="F345" i="21"/>
  <c r="J345" i="21" s="1"/>
  <c r="F360" i="21"/>
  <c r="J360" i="21" s="1"/>
  <c r="F377" i="21"/>
  <c r="J377" i="21" s="1"/>
  <c r="N348" i="21"/>
  <c r="R348" i="21" s="1"/>
  <c r="V348" i="21" s="1"/>
  <c r="Z348" i="21" s="1"/>
  <c r="I348" i="21"/>
  <c r="B404" i="21"/>
  <c r="F364" i="21"/>
  <c r="J364" i="21" s="1"/>
  <c r="N380" i="21"/>
  <c r="R380" i="21" s="1"/>
  <c r="V380" i="21" s="1"/>
  <c r="Z380" i="21" s="1"/>
  <c r="I380" i="21"/>
  <c r="B430" i="21"/>
  <c r="F390" i="21"/>
  <c r="J390" i="21" s="1"/>
  <c r="B449" i="21"/>
  <c r="I361" i="21"/>
  <c r="I355" i="21"/>
  <c r="B437" i="21"/>
  <c r="F397" i="21"/>
  <c r="J397" i="21" s="1"/>
  <c r="F373" i="21"/>
  <c r="J373" i="21" s="1"/>
  <c r="B413" i="21"/>
  <c r="F410" i="21"/>
  <c r="J410" i="21" s="1"/>
  <c r="B503" i="21"/>
  <c r="F349" i="21"/>
  <c r="J349" i="21" s="1"/>
  <c r="F381" i="21"/>
  <c r="J381" i="21" s="1"/>
  <c r="N351" i="21"/>
  <c r="R351" i="21" s="1"/>
  <c r="V351" i="21" s="1"/>
  <c r="Z351" i="21" s="1"/>
  <c r="I351" i="21"/>
  <c r="N365" i="21"/>
  <c r="R365" i="21" s="1"/>
  <c r="V365" i="21" s="1"/>
  <c r="Z365" i="21" s="1"/>
  <c r="I365" i="21"/>
  <c r="N350" i="21"/>
  <c r="R350" i="21" s="1"/>
  <c r="V350" i="21" s="1"/>
  <c r="Z350" i="21" s="1"/>
  <c r="I350" i="21"/>
  <c r="I358" i="21"/>
  <c r="N358" i="21"/>
  <c r="R358" i="21" s="1"/>
  <c r="V358" i="21" s="1"/>
  <c r="Z358" i="21" s="1"/>
  <c r="N366" i="21"/>
  <c r="R366" i="21" s="1"/>
  <c r="V366" i="21" s="1"/>
  <c r="Z366" i="21" s="1"/>
  <c r="I366" i="21"/>
  <c r="I374" i="21"/>
  <c r="N374" i="21"/>
  <c r="R374" i="21" s="1"/>
  <c r="V374" i="21" s="1"/>
  <c r="Z374" i="21" s="1"/>
  <c r="N382" i="21"/>
  <c r="R382" i="21" s="1"/>
  <c r="V382" i="21" s="1"/>
  <c r="Z382" i="21" s="1"/>
  <c r="I382" i="21"/>
  <c r="B396" i="21"/>
  <c r="B412" i="21"/>
  <c r="N407" i="21"/>
  <c r="R407" i="21" s="1"/>
  <c r="V407" i="21" s="1"/>
  <c r="Z407" i="21" s="1"/>
  <c r="I407" i="21"/>
  <c r="I368" i="21"/>
  <c r="N368" i="21"/>
  <c r="R368" i="21" s="1"/>
  <c r="V368" i="21" s="1"/>
  <c r="Z368" i="21" s="1"/>
  <c r="N409" i="21"/>
  <c r="R409" i="21" s="1"/>
  <c r="V409" i="21" s="1"/>
  <c r="Z409" i="21" s="1"/>
  <c r="I409" i="21"/>
  <c r="N399" i="21"/>
  <c r="R399" i="21" s="1"/>
  <c r="V399" i="21" s="1"/>
  <c r="Z399" i="21" s="1"/>
  <c r="I399" i="21"/>
  <c r="F352" i="21"/>
  <c r="J352" i="21" s="1"/>
  <c r="B392" i="21"/>
  <c r="B448" i="21"/>
  <c r="F408" i="21"/>
  <c r="J408" i="21" s="1"/>
  <c r="I376" i="21"/>
  <c r="N376" i="21"/>
  <c r="R376" i="21" s="1"/>
  <c r="V376" i="21" s="1"/>
  <c r="Z376" i="21" s="1"/>
  <c r="F384" i="21"/>
  <c r="J384" i="21" s="1"/>
  <c r="B424" i="21"/>
  <c r="B457" i="21"/>
  <c r="F356" i="21"/>
  <c r="J356" i="21" s="1"/>
  <c r="I363" i="21"/>
  <c r="N363" i="21"/>
  <c r="R363" i="21" s="1"/>
  <c r="V363" i="21" s="1"/>
  <c r="Z363" i="21" s="1"/>
  <c r="B393" i="21"/>
  <c r="F353" i="21"/>
  <c r="J353" i="21" s="1"/>
  <c r="I369" i="21"/>
  <c r="N369" i="21"/>
  <c r="R369" i="21" s="1"/>
  <c r="V369" i="21" s="1"/>
  <c r="Z369" i="21" s="1"/>
  <c r="B385" i="21"/>
  <c r="B401" i="21"/>
  <c r="B420" i="21"/>
  <c r="F357" i="21"/>
  <c r="J357" i="21" s="1"/>
  <c r="F372" i="21"/>
  <c r="J372" i="21" s="1"/>
  <c r="B402" i="21"/>
  <c r="B439" i="21"/>
  <c r="B447" i="21"/>
  <c r="B455" i="21"/>
  <c r="B414" i="21"/>
  <c r="N378" i="21"/>
  <c r="R378" i="21" s="1"/>
  <c r="V378" i="21" s="1"/>
  <c r="Z378" i="21" s="1"/>
  <c r="I378" i="21"/>
  <c r="I354" i="21"/>
  <c r="B386" i="21"/>
  <c r="B418" i="21"/>
  <c r="F391" i="21"/>
  <c r="J391" i="21" s="1"/>
  <c r="F423" i="21"/>
  <c r="J423" i="21" s="1"/>
  <c r="I370" i="21"/>
  <c r="B387" i="21"/>
  <c r="B395" i="21"/>
  <c r="B403" i="21"/>
  <c r="B411" i="21"/>
  <c r="B419" i="21"/>
  <c r="T134" i="21"/>
  <c r="X134" i="21" s="1"/>
  <c r="T133" i="21"/>
  <c r="X133" i="21" s="1"/>
  <c r="T132" i="21"/>
  <c r="X132" i="21" s="1"/>
  <c r="T131" i="21"/>
  <c r="X131" i="21" s="1"/>
  <c r="T130" i="21"/>
  <c r="X130" i="21" s="1"/>
  <c r="T129" i="21"/>
  <c r="X129" i="21" s="1"/>
  <c r="T128" i="21"/>
  <c r="X128" i="21" s="1"/>
  <c r="T127" i="21"/>
  <c r="X127" i="21" s="1"/>
  <c r="T126" i="21"/>
  <c r="X126" i="21" s="1"/>
  <c r="T125" i="21"/>
  <c r="X125" i="21" s="1"/>
  <c r="T124" i="21"/>
  <c r="X124" i="21" s="1"/>
  <c r="T123" i="21"/>
  <c r="X123" i="21" s="1"/>
  <c r="T122" i="21"/>
  <c r="X122" i="21" s="1"/>
  <c r="T121" i="21"/>
  <c r="X121" i="21" s="1"/>
  <c r="T120" i="21"/>
  <c r="X120" i="21" s="1"/>
  <c r="S134" i="21"/>
  <c r="W134" i="21" s="1"/>
  <c r="S133" i="21"/>
  <c r="S132" i="21"/>
  <c r="W132" i="21" s="1"/>
  <c r="S131" i="21"/>
  <c r="W131" i="21" s="1"/>
  <c r="S130" i="21"/>
  <c r="W130" i="21" s="1"/>
  <c r="S129" i="21"/>
  <c r="W129" i="21" s="1"/>
  <c r="S128" i="21"/>
  <c r="W128" i="21" s="1"/>
  <c r="S127" i="21"/>
  <c r="W127" i="21" s="1"/>
  <c r="S126" i="21"/>
  <c r="W126" i="21" s="1"/>
  <c r="S125" i="21"/>
  <c r="S124" i="21"/>
  <c r="W124" i="21" s="1"/>
  <c r="S123" i="21"/>
  <c r="W123" i="21" s="1"/>
  <c r="S122" i="21"/>
  <c r="W122" i="21" s="1"/>
  <c r="S121" i="21"/>
  <c r="W121" i="21" s="1"/>
  <c r="S120" i="21"/>
  <c r="W120" i="21" s="1"/>
  <c r="S119" i="21"/>
  <c r="W119" i="21" s="1"/>
  <c r="T119" i="21"/>
  <c r="X119" i="21" s="1"/>
  <c r="I383" i="21" l="1"/>
  <c r="F394" i="21"/>
  <c r="J394" i="21" s="1"/>
  <c r="N359" i="21"/>
  <c r="R359" i="21" s="1"/>
  <c r="V359" i="21" s="1"/>
  <c r="Z359" i="21" s="1"/>
  <c r="F416" i="21"/>
  <c r="J416" i="21" s="1"/>
  <c r="F398" i="21"/>
  <c r="J398" i="21" s="1"/>
  <c r="N398" i="21" s="1"/>
  <c r="R398" i="21" s="1"/>
  <c r="V398" i="21" s="1"/>
  <c r="Z398" i="21" s="1"/>
  <c r="B450" i="21"/>
  <c r="B490" i="21" s="1"/>
  <c r="F406" i="21"/>
  <c r="J406" i="21" s="1"/>
  <c r="I463" i="21"/>
  <c r="I346" i="21"/>
  <c r="B446" i="21"/>
  <c r="B471" i="21"/>
  <c r="B511" i="21" s="1"/>
  <c r="B462" i="21"/>
  <c r="F462" i="21" s="1"/>
  <c r="J462" i="21" s="1"/>
  <c r="I371" i="21"/>
  <c r="I431" i="21"/>
  <c r="N379" i="21"/>
  <c r="R379" i="21" s="1"/>
  <c r="V379" i="21" s="1"/>
  <c r="Z379" i="21" s="1"/>
  <c r="F417" i="21"/>
  <c r="J417" i="21" s="1"/>
  <c r="B459" i="21"/>
  <c r="F419" i="21"/>
  <c r="J419" i="21" s="1"/>
  <c r="B425" i="21"/>
  <c r="F385" i="21"/>
  <c r="J385" i="21" s="1"/>
  <c r="I384" i="21"/>
  <c r="N384" i="21"/>
  <c r="R384" i="21" s="1"/>
  <c r="V384" i="21" s="1"/>
  <c r="Z384" i="21" s="1"/>
  <c r="I416" i="21"/>
  <c r="N416" i="21"/>
  <c r="R416" i="21" s="1"/>
  <c r="V416" i="21" s="1"/>
  <c r="Z416" i="21" s="1"/>
  <c r="N394" i="21"/>
  <c r="R394" i="21" s="1"/>
  <c r="V394" i="21" s="1"/>
  <c r="Z394" i="21" s="1"/>
  <c r="I394" i="21"/>
  <c r="B477" i="21"/>
  <c r="F437" i="21"/>
  <c r="J437" i="21" s="1"/>
  <c r="B489" i="21"/>
  <c r="F449" i="21"/>
  <c r="J449" i="21" s="1"/>
  <c r="B486" i="21"/>
  <c r="F446" i="21"/>
  <c r="J446" i="21" s="1"/>
  <c r="B428" i="21"/>
  <c r="F388" i="21"/>
  <c r="J388" i="21" s="1"/>
  <c r="B495" i="21"/>
  <c r="F455" i="21"/>
  <c r="J455" i="21" s="1"/>
  <c r="B442" i="21"/>
  <c r="F402" i="21"/>
  <c r="J402" i="21" s="1"/>
  <c r="B496" i="21"/>
  <c r="F456" i="21"/>
  <c r="J456" i="21" s="1"/>
  <c r="B474" i="21"/>
  <c r="F434" i="21"/>
  <c r="J434" i="21" s="1"/>
  <c r="B543" i="21"/>
  <c r="F503" i="21"/>
  <c r="J503" i="21" s="1"/>
  <c r="I390" i="21"/>
  <c r="N390" i="21"/>
  <c r="R390" i="21" s="1"/>
  <c r="V390" i="21" s="1"/>
  <c r="Z390" i="21" s="1"/>
  <c r="N377" i="21"/>
  <c r="R377" i="21" s="1"/>
  <c r="V377" i="21" s="1"/>
  <c r="Z377" i="21" s="1"/>
  <c r="I377" i="21"/>
  <c r="B429" i="21"/>
  <c r="F389" i="21"/>
  <c r="J389" i="21" s="1"/>
  <c r="B480" i="21"/>
  <c r="F440" i="21"/>
  <c r="J440" i="21" s="1"/>
  <c r="B443" i="21"/>
  <c r="F403" i="21"/>
  <c r="J403" i="21" s="1"/>
  <c r="N356" i="21"/>
  <c r="R356" i="21" s="1"/>
  <c r="V356" i="21" s="1"/>
  <c r="Z356" i="21" s="1"/>
  <c r="I356" i="21"/>
  <c r="N410" i="21"/>
  <c r="R410" i="21" s="1"/>
  <c r="V410" i="21" s="1"/>
  <c r="Z410" i="21" s="1"/>
  <c r="I410" i="21"/>
  <c r="B470" i="21"/>
  <c r="F430" i="21"/>
  <c r="J430" i="21" s="1"/>
  <c r="I360" i="21"/>
  <c r="N360" i="21"/>
  <c r="R360" i="21" s="1"/>
  <c r="V360" i="21" s="1"/>
  <c r="Z360" i="21" s="1"/>
  <c r="B451" i="21"/>
  <c r="F411" i="21"/>
  <c r="J411" i="21" s="1"/>
  <c r="B426" i="21"/>
  <c r="F386" i="21"/>
  <c r="J386" i="21" s="1"/>
  <c r="N372" i="21"/>
  <c r="R372" i="21" s="1"/>
  <c r="V372" i="21" s="1"/>
  <c r="Z372" i="21" s="1"/>
  <c r="I372" i="21"/>
  <c r="B435" i="21"/>
  <c r="F395" i="21"/>
  <c r="J395" i="21" s="1"/>
  <c r="B487" i="21"/>
  <c r="F447" i="21"/>
  <c r="J447" i="21" s="1"/>
  <c r="N357" i="21"/>
  <c r="R357" i="21" s="1"/>
  <c r="V357" i="21" s="1"/>
  <c r="Z357" i="21" s="1"/>
  <c r="I357" i="21"/>
  <c r="I353" i="21"/>
  <c r="N353" i="21"/>
  <c r="R353" i="21" s="1"/>
  <c r="V353" i="21" s="1"/>
  <c r="Z353" i="21" s="1"/>
  <c r="I408" i="21"/>
  <c r="N408" i="21"/>
  <c r="R408" i="21" s="1"/>
  <c r="V408" i="21" s="1"/>
  <c r="Z408" i="21" s="1"/>
  <c r="I398" i="21"/>
  <c r="B452" i="21"/>
  <c r="F412" i="21"/>
  <c r="J412" i="21" s="1"/>
  <c r="N345" i="21"/>
  <c r="R345" i="21" s="1"/>
  <c r="V345" i="21" s="1"/>
  <c r="Z345" i="21" s="1"/>
  <c r="I345" i="21"/>
  <c r="B458" i="21"/>
  <c r="F418" i="21"/>
  <c r="J418" i="21" s="1"/>
  <c r="B427" i="21"/>
  <c r="F387" i="21"/>
  <c r="J387" i="21" s="1"/>
  <c r="B479" i="21"/>
  <c r="F439" i="21"/>
  <c r="J439" i="21" s="1"/>
  <c r="B433" i="21"/>
  <c r="F393" i="21"/>
  <c r="J393" i="21" s="1"/>
  <c r="I417" i="21"/>
  <c r="N417" i="21"/>
  <c r="R417" i="21" s="1"/>
  <c r="V417" i="21" s="1"/>
  <c r="Z417" i="21" s="1"/>
  <c r="B488" i="21"/>
  <c r="F448" i="21"/>
  <c r="J448" i="21" s="1"/>
  <c r="B478" i="21"/>
  <c r="F438" i="21"/>
  <c r="J438" i="21" s="1"/>
  <c r="B436" i="21"/>
  <c r="F396" i="21"/>
  <c r="J396" i="21" s="1"/>
  <c r="B453" i="21"/>
  <c r="F413" i="21"/>
  <c r="J413" i="21" s="1"/>
  <c r="B497" i="21"/>
  <c r="F457" i="21"/>
  <c r="J457" i="21" s="1"/>
  <c r="B432" i="21"/>
  <c r="F392" i="21"/>
  <c r="J392" i="21" s="1"/>
  <c r="N364" i="21"/>
  <c r="R364" i="21" s="1"/>
  <c r="V364" i="21" s="1"/>
  <c r="Z364" i="21" s="1"/>
  <c r="I364" i="21"/>
  <c r="I422" i="21"/>
  <c r="N422" i="21"/>
  <c r="R422" i="21" s="1"/>
  <c r="V422" i="21" s="1"/>
  <c r="Z422" i="21" s="1"/>
  <c r="N423" i="21"/>
  <c r="R423" i="21" s="1"/>
  <c r="V423" i="21" s="1"/>
  <c r="Z423" i="21" s="1"/>
  <c r="I423" i="21"/>
  <c r="B460" i="21"/>
  <c r="F420" i="21"/>
  <c r="J420" i="21" s="1"/>
  <c r="N373" i="21"/>
  <c r="R373" i="21" s="1"/>
  <c r="V373" i="21" s="1"/>
  <c r="Z373" i="21" s="1"/>
  <c r="I373" i="21"/>
  <c r="F471" i="21"/>
  <c r="J471" i="21" s="1"/>
  <c r="B444" i="21"/>
  <c r="F404" i="21"/>
  <c r="J404" i="21" s="1"/>
  <c r="B502" i="21"/>
  <c r="B464" i="21"/>
  <c r="F424" i="21"/>
  <c r="J424" i="21" s="1"/>
  <c r="N381" i="21"/>
  <c r="R381" i="21" s="1"/>
  <c r="V381" i="21" s="1"/>
  <c r="Z381" i="21" s="1"/>
  <c r="I381" i="21"/>
  <c r="B461" i="21"/>
  <c r="F421" i="21"/>
  <c r="J421" i="21" s="1"/>
  <c r="N391" i="21"/>
  <c r="R391" i="21" s="1"/>
  <c r="V391" i="21" s="1"/>
  <c r="Z391" i="21" s="1"/>
  <c r="I391" i="21"/>
  <c r="B454" i="21"/>
  <c r="F414" i="21"/>
  <c r="J414" i="21" s="1"/>
  <c r="B441" i="21"/>
  <c r="F401" i="21"/>
  <c r="J401" i="21" s="1"/>
  <c r="I352" i="21"/>
  <c r="N352" i="21"/>
  <c r="R352" i="21" s="1"/>
  <c r="V352" i="21" s="1"/>
  <c r="Z352" i="21" s="1"/>
  <c r="N349" i="21"/>
  <c r="R349" i="21" s="1"/>
  <c r="V349" i="21" s="1"/>
  <c r="Z349" i="21" s="1"/>
  <c r="I349" i="21"/>
  <c r="N397" i="21"/>
  <c r="R397" i="21" s="1"/>
  <c r="V397" i="21" s="1"/>
  <c r="Z397" i="21" s="1"/>
  <c r="I397" i="21"/>
  <c r="I406" i="21"/>
  <c r="N406" i="21"/>
  <c r="R406" i="21" s="1"/>
  <c r="V406" i="21" s="1"/>
  <c r="Z406" i="21" s="1"/>
  <c r="B445" i="21"/>
  <c r="F405" i="21"/>
  <c r="J405" i="21" s="1"/>
  <c r="I400" i="21"/>
  <c r="N400" i="21"/>
  <c r="R400" i="21" s="1"/>
  <c r="V400" i="21" s="1"/>
  <c r="Z400" i="21" s="1"/>
  <c r="W125" i="21"/>
  <c r="W133" i="21"/>
  <c r="O116" i="21"/>
  <c r="W76" i="21"/>
  <c r="T92" i="21"/>
  <c r="Y92" i="21" s="1"/>
  <c r="T91" i="21"/>
  <c r="Y91" i="21" s="1"/>
  <c r="T90" i="21"/>
  <c r="Y90" i="21" s="1"/>
  <c r="T89" i="21"/>
  <c r="Y89" i="21" s="1"/>
  <c r="T88" i="21"/>
  <c r="Y88" i="21" s="1"/>
  <c r="T87" i="21"/>
  <c r="Y87" i="21" s="1"/>
  <c r="T86" i="21"/>
  <c r="Y86" i="21" s="1"/>
  <c r="T85" i="21"/>
  <c r="Y85" i="21" s="1"/>
  <c r="T84" i="21"/>
  <c r="Y84" i="21" s="1"/>
  <c r="T83" i="21"/>
  <c r="Y83" i="21" s="1"/>
  <c r="T82" i="21"/>
  <c r="Y82" i="21" s="1"/>
  <c r="T81" i="21"/>
  <c r="Y81" i="21" s="1"/>
  <c r="T80" i="21"/>
  <c r="Y80" i="21" s="1"/>
  <c r="T79" i="21"/>
  <c r="Y79" i="21" s="1"/>
  <c r="T78" i="21"/>
  <c r="Y78" i="21" s="1"/>
  <c r="T77" i="21"/>
  <c r="Y77" i="21" s="1"/>
  <c r="S92" i="21"/>
  <c r="X92" i="21" s="1"/>
  <c r="S91" i="21"/>
  <c r="X91" i="21" s="1"/>
  <c r="S90" i="21"/>
  <c r="X90" i="21" s="1"/>
  <c r="S89" i="21"/>
  <c r="X89" i="21" s="1"/>
  <c r="S88" i="21"/>
  <c r="X88" i="21" s="1"/>
  <c r="S87" i="21"/>
  <c r="X87" i="21" s="1"/>
  <c r="S86" i="21"/>
  <c r="X86" i="21" s="1"/>
  <c r="S85" i="21"/>
  <c r="X85" i="21" s="1"/>
  <c r="S84" i="21"/>
  <c r="X84" i="21" s="1"/>
  <c r="S83" i="21"/>
  <c r="X83" i="21" s="1"/>
  <c r="S82" i="21"/>
  <c r="X82" i="21" s="1"/>
  <c r="S81" i="21"/>
  <c r="X81" i="21" s="1"/>
  <c r="S80" i="21"/>
  <c r="X80" i="21" s="1"/>
  <c r="S79" i="21"/>
  <c r="X79" i="21" s="1"/>
  <c r="S78" i="21"/>
  <c r="X78" i="21" s="1"/>
  <c r="S77" i="21"/>
  <c r="X77" i="21" s="1"/>
  <c r="R92" i="21"/>
  <c r="W92" i="21" s="1"/>
  <c r="R91" i="21"/>
  <c r="W91" i="21" s="1"/>
  <c r="R90" i="21"/>
  <c r="W90" i="21" s="1"/>
  <c r="R89" i="21"/>
  <c r="W89" i="21" s="1"/>
  <c r="R88" i="21"/>
  <c r="W88" i="21" s="1"/>
  <c r="R87" i="21"/>
  <c r="W87" i="21" s="1"/>
  <c r="R86" i="21"/>
  <c r="W86" i="21" s="1"/>
  <c r="R85" i="21"/>
  <c r="W85" i="21" s="1"/>
  <c r="R84" i="21"/>
  <c r="W84" i="21" s="1"/>
  <c r="R83" i="21"/>
  <c r="W83" i="21" s="1"/>
  <c r="R82" i="21"/>
  <c r="W82" i="21" s="1"/>
  <c r="R81" i="21"/>
  <c r="W81" i="21" s="1"/>
  <c r="R80" i="21"/>
  <c r="W80" i="21" s="1"/>
  <c r="R79" i="21"/>
  <c r="W79" i="21" s="1"/>
  <c r="R78" i="21"/>
  <c r="W78" i="21" s="1"/>
  <c r="R77" i="21"/>
  <c r="W77" i="21" s="1"/>
  <c r="R76" i="21"/>
  <c r="J118" i="21"/>
  <c r="N118" i="21" s="1"/>
  <c r="L116" i="21"/>
  <c r="P116" i="21" s="1"/>
  <c r="T71" i="21"/>
  <c r="B29" i="10"/>
  <c r="A29" i="10"/>
  <c r="E3" i="10"/>
  <c r="A17" i="10"/>
  <c r="G161" i="21"/>
  <c r="K161" i="21" s="1"/>
  <c r="O161" i="21" s="1"/>
  <c r="G160" i="21"/>
  <c r="K160" i="21" s="1"/>
  <c r="O160" i="21" s="1"/>
  <c r="G159" i="21"/>
  <c r="K159" i="21" s="1"/>
  <c r="O159" i="21" s="1"/>
  <c r="G158" i="21"/>
  <c r="K158" i="21" s="1"/>
  <c r="O158" i="21" s="1"/>
  <c r="G157" i="21"/>
  <c r="K157" i="21" s="1"/>
  <c r="O157" i="21" s="1"/>
  <c r="G156" i="21"/>
  <c r="K156" i="21" s="1"/>
  <c r="O156" i="21" s="1"/>
  <c r="G155" i="21"/>
  <c r="K155" i="21" s="1"/>
  <c r="O155" i="21" s="1"/>
  <c r="G154" i="21"/>
  <c r="K154" i="21" s="1"/>
  <c r="O154" i="21" s="1"/>
  <c r="G153" i="21"/>
  <c r="K153" i="21" s="1"/>
  <c r="O153" i="21" s="1"/>
  <c r="G152" i="21"/>
  <c r="K152" i="21" s="1"/>
  <c r="O152" i="21" s="1"/>
  <c r="G151" i="21"/>
  <c r="K151" i="21" s="1"/>
  <c r="O151" i="21" s="1"/>
  <c r="G150" i="21"/>
  <c r="K150" i="21" s="1"/>
  <c r="O150" i="21" s="1"/>
  <c r="G149" i="21"/>
  <c r="K149" i="21" s="1"/>
  <c r="O149" i="21" s="1"/>
  <c r="G148" i="21"/>
  <c r="K148" i="21" s="1"/>
  <c r="O148" i="21" s="1"/>
  <c r="G147" i="21"/>
  <c r="K147" i="21" s="1"/>
  <c r="O147" i="21" s="1"/>
  <c r="G146" i="21"/>
  <c r="K146" i="21" s="1"/>
  <c r="O146" i="21" s="1"/>
  <c r="G145" i="21"/>
  <c r="K145" i="21" s="1"/>
  <c r="O145" i="21" s="1"/>
  <c r="G144" i="21"/>
  <c r="K144" i="21" s="1"/>
  <c r="O144" i="21" s="1"/>
  <c r="G143" i="21"/>
  <c r="K143" i="21" s="1"/>
  <c r="O143" i="21" s="1"/>
  <c r="G142" i="21"/>
  <c r="K142" i="21" s="1"/>
  <c r="O142" i="21" s="1"/>
  <c r="G141" i="21"/>
  <c r="K141" i="21" s="1"/>
  <c r="O141" i="21" s="1"/>
  <c r="G140" i="21"/>
  <c r="K140" i="21" s="1"/>
  <c r="O140" i="21" s="1"/>
  <c r="G139" i="21"/>
  <c r="K139" i="21" s="1"/>
  <c r="O139" i="21" s="1"/>
  <c r="G138" i="21"/>
  <c r="K138" i="21" s="1"/>
  <c r="O138" i="21" s="1"/>
  <c r="G137" i="21"/>
  <c r="K137" i="21" s="1"/>
  <c r="O137" i="21" s="1"/>
  <c r="G136" i="21"/>
  <c r="K136" i="21" s="1"/>
  <c r="O136" i="21" s="1"/>
  <c r="G135" i="21"/>
  <c r="K135" i="21" s="1"/>
  <c r="O135" i="21" s="1"/>
  <c r="G134" i="21"/>
  <c r="K134" i="21" s="1"/>
  <c r="O134" i="21" s="1"/>
  <c r="G133" i="21"/>
  <c r="K133" i="21" s="1"/>
  <c r="O133" i="21" s="1"/>
  <c r="G132" i="21"/>
  <c r="K132" i="21" s="1"/>
  <c r="O132" i="21" s="1"/>
  <c r="G131" i="21"/>
  <c r="K131" i="21" s="1"/>
  <c r="O131" i="21" s="1"/>
  <c r="G130" i="21"/>
  <c r="K130" i="21" s="1"/>
  <c r="O130" i="21" s="1"/>
  <c r="G129" i="21"/>
  <c r="K129" i="21" s="1"/>
  <c r="O129" i="21" s="1"/>
  <c r="G128" i="21"/>
  <c r="K128" i="21" s="1"/>
  <c r="O128" i="21" s="1"/>
  <c r="G127" i="21"/>
  <c r="K127" i="21" s="1"/>
  <c r="O127" i="21" s="1"/>
  <c r="G126" i="21"/>
  <c r="K126" i="21" s="1"/>
  <c r="O126" i="21" s="1"/>
  <c r="G125" i="21"/>
  <c r="K125" i="21" s="1"/>
  <c r="O125" i="21" s="1"/>
  <c r="G124" i="21"/>
  <c r="K124" i="21" s="1"/>
  <c r="O124" i="21" s="1"/>
  <c r="G123" i="21"/>
  <c r="K123" i="21" s="1"/>
  <c r="O123" i="21" s="1"/>
  <c r="G122" i="21"/>
  <c r="K122" i="21" s="1"/>
  <c r="O122" i="21" s="1"/>
  <c r="G121" i="21"/>
  <c r="K121" i="21" s="1"/>
  <c r="O121" i="21" s="1"/>
  <c r="G120" i="21"/>
  <c r="K120" i="21" s="1"/>
  <c r="O120" i="21" s="1"/>
  <c r="G119" i="21"/>
  <c r="K119" i="21" s="1"/>
  <c r="O119" i="21" s="1"/>
  <c r="G118" i="21"/>
  <c r="K118" i="21" s="1"/>
  <c r="O118" i="21" s="1"/>
  <c r="H107" i="21"/>
  <c r="I105" i="21" s="1"/>
  <c r="H114" i="21"/>
  <c r="H113" i="21"/>
  <c r="H112" i="21"/>
  <c r="H111" i="21"/>
  <c r="H110" i="21"/>
  <c r="H109" i="21"/>
  <c r="H108" i="21"/>
  <c r="G114" i="21"/>
  <c r="G113" i="21"/>
  <c r="G112" i="21"/>
  <c r="G111" i="21"/>
  <c r="G110" i="21"/>
  <c r="G109" i="21"/>
  <c r="G108" i="21"/>
  <c r="G107" i="21"/>
  <c r="H105" i="21" s="1"/>
  <c r="F450" i="21" l="1"/>
  <c r="J450" i="21" s="1"/>
  <c r="N450" i="21" s="1"/>
  <c r="R450" i="21" s="1"/>
  <c r="V450" i="21" s="1"/>
  <c r="Z450" i="21" s="1"/>
  <c r="N421" i="21"/>
  <c r="R421" i="21" s="1"/>
  <c r="V421" i="21" s="1"/>
  <c r="Z421" i="21" s="1"/>
  <c r="I421" i="21"/>
  <c r="I401" i="21"/>
  <c r="N401" i="21"/>
  <c r="R401" i="21" s="1"/>
  <c r="V401" i="21" s="1"/>
  <c r="Z401" i="21" s="1"/>
  <c r="B551" i="21"/>
  <c r="F511" i="21"/>
  <c r="J511" i="21" s="1"/>
  <c r="N393" i="21"/>
  <c r="R393" i="21" s="1"/>
  <c r="V393" i="21" s="1"/>
  <c r="Z393" i="21" s="1"/>
  <c r="I393" i="21"/>
  <c r="B467" i="21"/>
  <c r="F427" i="21"/>
  <c r="J427" i="21" s="1"/>
  <c r="B530" i="21"/>
  <c r="F490" i="21"/>
  <c r="J490" i="21" s="1"/>
  <c r="B520" i="21"/>
  <c r="F480" i="21"/>
  <c r="J480" i="21" s="1"/>
  <c r="N503" i="21"/>
  <c r="R503" i="21" s="1"/>
  <c r="V503" i="21" s="1"/>
  <c r="Z503" i="21" s="1"/>
  <c r="I503" i="21"/>
  <c r="B536" i="21"/>
  <c r="F496" i="21"/>
  <c r="J496" i="21" s="1"/>
  <c r="N462" i="21"/>
  <c r="R462" i="21" s="1"/>
  <c r="V462" i="21" s="1"/>
  <c r="Z462" i="21" s="1"/>
  <c r="I462" i="21"/>
  <c r="B537" i="21"/>
  <c r="F497" i="21"/>
  <c r="J497" i="21" s="1"/>
  <c r="I438" i="21"/>
  <c r="N438" i="21"/>
  <c r="R438" i="21" s="1"/>
  <c r="V438" i="21" s="1"/>
  <c r="Z438" i="21" s="1"/>
  <c r="B475" i="21"/>
  <c r="F435" i="21"/>
  <c r="J435" i="21" s="1"/>
  <c r="B491" i="21"/>
  <c r="F451" i="21"/>
  <c r="J451" i="21" s="1"/>
  <c r="B468" i="21"/>
  <c r="F428" i="21"/>
  <c r="J428" i="21" s="1"/>
  <c r="N437" i="21"/>
  <c r="R437" i="21" s="1"/>
  <c r="V437" i="21" s="1"/>
  <c r="Z437" i="21" s="1"/>
  <c r="I437" i="21"/>
  <c r="B501" i="21"/>
  <c r="F461" i="21"/>
  <c r="J461" i="21" s="1"/>
  <c r="B542" i="21"/>
  <c r="F502" i="21"/>
  <c r="J502" i="21" s="1"/>
  <c r="B518" i="21"/>
  <c r="F478" i="21"/>
  <c r="J478" i="21" s="1"/>
  <c r="B473" i="21"/>
  <c r="F433" i="21"/>
  <c r="J433" i="21" s="1"/>
  <c r="N418" i="21"/>
  <c r="R418" i="21" s="1"/>
  <c r="V418" i="21" s="1"/>
  <c r="Z418" i="21" s="1"/>
  <c r="I418" i="21"/>
  <c r="N412" i="21"/>
  <c r="R412" i="21" s="1"/>
  <c r="V412" i="21" s="1"/>
  <c r="Z412" i="21" s="1"/>
  <c r="I412" i="21"/>
  <c r="N389" i="21"/>
  <c r="R389" i="21" s="1"/>
  <c r="V389" i="21" s="1"/>
  <c r="Z389" i="21" s="1"/>
  <c r="I389" i="21"/>
  <c r="B583" i="21"/>
  <c r="F543" i="21"/>
  <c r="J543" i="21" s="1"/>
  <c r="N402" i="21"/>
  <c r="R402" i="21" s="1"/>
  <c r="V402" i="21" s="1"/>
  <c r="Z402" i="21" s="1"/>
  <c r="I402" i="21"/>
  <c r="B517" i="21"/>
  <c r="F477" i="21"/>
  <c r="J477" i="21" s="1"/>
  <c r="I385" i="21"/>
  <c r="N385" i="21"/>
  <c r="R385" i="21" s="1"/>
  <c r="V385" i="21" s="1"/>
  <c r="Z385" i="21" s="1"/>
  <c r="B481" i="21"/>
  <c r="F441" i="21"/>
  <c r="J441" i="21" s="1"/>
  <c r="N414" i="21"/>
  <c r="R414" i="21" s="1"/>
  <c r="V414" i="21" s="1"/>
  <c r="Z414" i="21" s="1"/>
  <c r="I414" i="21"/>
  <c r="N404" i="21"/>
  <c r="R404" i="21" s="1"/>
  <c r="V404" i="21" s="1"/>
  <c r="Z404" i="21" s="1"/>
  <c r="I404" i="21"/>
  <c r="N420" i="21"/>
  <c r="R420" i="21" s="1"/>
  <c r="V420" i="21" s="1"/>
  <c r="Z420" i="21" s="1"/>
  <c r="I420" i="21"/>
  <c r="N413" i="21"/>
  <c r="R413" i="21" s="1"/>
  <c r="V413" i="21" s="1"/>
  <c r="Z413" i="21" s="1"/>
  <c r="I413" i="21"/>
  <c r="N439" i="21"/>
  <c r="R439" i="21" s="1"/>
  <c r="V439" i="21" s="1"/>
  <c r="Z439" i="21" s="1"/>
  <c r="I439" i="21"/>
  <c r="B498" i="21"/>
  <c r="F458" i="21"/>
  <c r="J458" i="21" s="1"/>
  <c r="B492" i="21"/>
  <c r="F452" i="21"/>
  <c r="J452" i="21" s="1"/>
  <c r="N403" i="21"/>
  <c r="R403" i="21" s="1"/>
  <c r="V403" i="21" s="1"/>
  <c r="Z403" i="21" s="1"/>
  <c r="I403" i="21"/>
  <c r="B469" i="21"/>
  <c r="F429" i="21"/>
  <c r="J429" i="21" s="1"/>
  <c r="B482" i="21"/>
  <c r="F442" i="21"/>
  <c r="J442" i="21" s="1"/>
  <c r="N446" i="21"/>
  <c r="R446" i="21" s="1"/>
  <c r="V446" i="21" s="1"/>
  <c r="Z446" i="21" s="1"/>
  <c r="I446" i="21"/>
  <c r="B465" i="21"/>
  <c r="F425" i="21"/>
  <c r="J425" i="21" s="1"/>
  <c r="B494" i="21"/>
  <c r="F454" i="21"/>
  <c r="J454" i="21" s="1"/>
  <c r="B493" i="21"/>
  <c r="F453" i="21"/>
  <c r="J453" i="21" s="1"/>
  <c r="I448" i="21"/>
  <c r="N448" i="21"/>
  <c r="R448" i="21" s="1"/>
  <c r="V448" i="21" s="1"/>
  <c r="Z448" i="21" s="1"/>
  <c r="N447" i="21"/>
  <c r="R447" i="21" s="1"/>
  <c r="V447" i="21" s="1"/>
  <c r="Z447" i="21" s="1"/>
  <c r="I447" i="21"/>
  <c r="N434" i="21"/>
  <c r="R434" i="21" s="1"/>
  <c r="V434" i="21" s="1"/>
  <c r="Z434" i="21" s="1"/>
  <c r="I434" i="21"/>
  <c r="N455" i="21"/>
  <c r="R455" i="21" s="1"/>
  <c r="V455" i="21" s="1"/>
  <c r="Z455" i="21" s="1"/>
  <c r="I455" i="21"/>
  <c r="B526" i="21"/>
  <c r="F486" i="21"/>
  <c r="J486" i="21" s="1"/>
  <c r="N419" i="21"/>
  <c r="R419" i="21" s="1"/>
  <c r="V419" i="21" s="1"/>
  <c r="Z419" i="21" s="1"/>
  <c r="I419" i="21"/>
  <c r="N405" i="21"/>
  <c r="R405" i="21" s="1"/>
  <c r="V405" i="21" s="1"/>
  <c r="Z405" i="21" s="1"/>
  <c r="I405" i="21"/>
  <c r="I424" i="21"/>
  <c r="N424" i="21"/>
  <c r="R424" i="21" s="1"/>
  <c r="V424" i="21" s="1"/>
  <c r="Z424" i="21" s="1"/>
  <c r="B484" i="21"/>
  <c r="F444" i="21"/>
  <c r="J444" i="21" s="1"/>
  <c r="B500" i="21"/>
  <c r="F460" i="21"/>
  <c r="J460" i="21" s="1"/>
  <c r="I392" i="21"/>
  <c r="N392" i="21"/>
  <c r="R392" i="21" s="1"/>
  <c r="V392" i="21" s="1"/>
  <c r="Z392" i="21" s="1"/>
  <c r="B528" i="21"/>
  <c r="F488" i="21"/>
  <c r="J488" i="21" s="1"/>
  <c r="B519" i="21"/>
  <c r="F479" i="21"/>
  <c r="J479" i="21" s="1"/>
  <c r="I386" i="21"/>
  <c r="N386" i="21"/>
  <c r="R386" i="21" s="1"/>
  <c r="V386" i="21" s="1"/>
  <c r="Z386" i="21" s="1"/>
  <c r="N430" i="21"/>
  <c r="R430" i="21" s="1"/>
  <c r="V430" i="21" s="1"/>
  <c r="Z430" i="21" s="1"/>
  <c r="I430" i="21"/>
  <c r="B483" i="21"/>
  <c r="F443" i="21"/>
  <c r="J443" i="21" s="1"/>
  <c r="B514" i="21"/>
  <c r="F474" i="21"/>
  <c r="J474" i="21" s="1"/>
  <c r="B485" i="21"/>
  <c r="F445" i="21"/>
  <c r="J445" i="21" s="1"/>
  <c r="B504" i="21"/>
  <c r="F464" i="21"/>
  <c r="J464" i="21" s="1"/>
  <c r="I471" i="21"/>
  <c r="N471" i="21"/>
  <c r="R471" i="21" s="1"/>
  <c r="V471" i="21" s="1"/>
  <c r="Z471" i="21" s="1"/>
  <c r="B472" i="21"/>
  <c r="F432" i="21"/>
  <c r="J432" i="21" s="1"/>
  <c r="N396" i="21"/>
  <c r="R396" i="21" s="1"/>
  <c r="V396" i="21" s="1"/>
  <c r="Z396" i="21" s="1"/>
  <c r="I396" i="21"/>
  <c r="N387" i="21"/>
  <c r="R387" i="21" s="1"/>
  <c r="V387" i="21" s="1"/>
  <c r="Z387" i="21" s="1"/>
  <c r="I387" i="21"/>
  <c r="B527" i="21"/>
  <c r="F487" i="21"/>
  <c r="J487" i="21" s="1"/>
  <c r="B466" i="21"/>
  <c r="F426" i="21"/>
  <c r="J426" i="21" s="1"/>
  <c r="B510" i="21"/>
  <c r="F470" i="21"/>
  <c r="J470" i="21" s="1"/>
  <c r="B535" i="21"/>
  <c r="F495" i="21"/>
  <c r="J495" i="21" s="1"/>
  <c r="I449" i="21"/>
  <c r="N449" i="21"/>
  <c r="R449" i="21" s="1"/>
  <c r="V449" i="21" s="1"/>
  <c r="Z449" i="21" s="1"/>
  <c r="B499" i="21"/>
  <c r="F459" i="21"/>
  <c r="J459" i="21" s="1"/>
  <c r="N457" i="21"/>
  <c r="R457" i="21" s="1"/>
  <c r="V457" i="21" s="1"/>
  <c r="Z457" i="21" s="1"/>
  <c r="I457" i="21"/>
  <c r="B476" i="21"/>
  <c r="F436" i="21"/>
  <c r="J436" i="21" s="1"/>
  <c r="I450" i="21"/>
  <c r="I395" i="21"/>
  <c r="N395" i="21"/>
  <c r="R395" i="21" s="1"/>
  <c r="V395" i="21" s="1"/>
  <c r="Z395" i="21" s="1"/>
  <c r="I411" i="21"/>
  <c r="N411" i="21"/>
  <c r="R411" i="21" s="1"/>
  <c r="V411" i="21" s="1"/>
  <c r="Z411" i="21" s="1"/>
  <c r="I440" i="21"/>
  <c r="N440" i="21"/>
  <c r="R440" i="21" s="1"/>
  <c r="V440" i="21" s="1"/>
  <c r="Z440" i="21" s="1"/>
  <c r="I456" i="21"/>
  <c r="N456" i="21"/>
  <c r="R456" i="21" s="1"/>
  <c r="V456" i="21" s="1"/>
  <c r="Z456" i="21" s="1"/>
  <c r="N388" i="21"/>
  <c r="R388" i="21" s="1"/>
  <c r="V388" i="21" s="1"/>
  <c r="Z388" i="21" s="1"/>
  <c r="I388" i="21"/>
  <c r="B529" i="21"/>
  <c r="F489" i="21"/>
  <c r="J489" i="21" s="1"/>
  <c r="B219" i="21"/>
  <c r="F219" i="21" s="1"/>
  <c r="B218" i="21"/>
  <c r="F218" i="21" s="1"/>
  <c r="B217" i="21"/>
  <c r="F217" i="21" s="1"/>
  <c r="B216" i="21"/>
  <c r="F216" i="21" s="1"/>
  <c r="B215" i="21"/>
  <c r="F215" i="21" s="1"/>
  <c r="B214" i="21"/>
  <c r="F214" i="21" s="1"/>
  <c r="B213" i="21"/>
  <c r="F213" i="21" s="1"/>
  <c r="B212" i="21"/>
  <c r="F212" i="21" s="1"/>
  <c r="B211" i="21"/>
  <c r="F211" i="21" s="1"/>
  <c r="B210" i="21"/>
  <c r="F210" i="21" s="1"/>
  <c r="B209" i="21"/>
  <c r="F209" i="21" s="1"/>
  <c r="B208" i="21"/>
  <c r="B207" i="21"/>
  <c r="F207" i="21" s="1"/>
  <c r="B206" i="21"/>
  <c r="F206" i="21" s="1"/>
  <c r="B205" i="21"/>
  <c r="F205" i="21" s="1"/>
  <c r="B204" i="21"/>
  <c r="F204" i="21" s="1"/>
  <c r="B203" i="21"/>
  <c r="F203" i="21" s="1"/>
  <c r="B202" i="21"/>
  <c r="F202" i="21" s="1"/>
  <c r="B201" i="21"/>
  <c r="F201" i="21" s="1"/>
  <c r="B200" i="21"/>
  <c r="A197" i="21"/>
  <c r="W39" i="21"/>
  <c r="AJ29" i="21"/>
  <c r="AN2" i="21"/>
  <c r="AM6" i="21"/>
  <c r="AM5" i="21"/>
  <c r="AA36" i="21"/>
  <c r="AJ25" i="21" s="1"/>
  <c r="AI50" i="21" s="1"/>
  <c r="AA35" i="21"/>
  <c r="AJ24" i="21" s="1"/>
  <c r="AI49" i="21" s="1"/>
  <c r="AA34" i="21"/>
  <c r="AJ23" i="21" s="1"/>
  <c r="AI48" i="21" s="1"/>
  <c r="AA33" i="21"/>
  <c r="AJ22" i="21" s="1"/>
  <c r="AI47" i="21" s="1"/>
  <c r="AA32" i="21"/>
  <c r="AJ21" i="21" s="1"/>
  <c r="AI46" i="21" s="1"/>
  <c r="AA31" i="21"/>
  <c r="AJ20" i="21" s="1"/>
  <c r="AI45" i="21" s="1"/>
  <c r="AA30" i="21"/>
  <c r="AJ19" i="21" s="1"/>
  <c r="AI44" i="21" s="1"/>
  <c r="AA29" i="21"/>
  <c r="AJ18" i="21" s="1"/>
  <c r="AI43" i="21" s="1"/>
  <c r="AA28" i="21"/>
  <c r="AJ17" i="21" s="1"/>
  <c r="AI42" i="21" s="1"/>
  <c r="AA27" i="21"/>
  <c r="AJ16" i="21" s="1"/>
  <c r="AI41" i="21" s="1"/>
  <c r="AA26" i="21"/>
  <c r="AJ15" i="21" s="1"/>
  <c r="AI40" i="21" s="1"/>
  <c r="AA25" i="21"/>
  <c r="AJ14" i="21" s="1"/>
  <c r="AI39" i="21" s="1"/>
  <c r="AA24" i="21"/>
  <c r="AJ13" i="21" s="1"/>
  <c r="AI38" i="21" s="1"/>
  <c r="AA23" i="21"/>
  <c r="AJ12" i="21" s="1"/>
  <c r="AI37" i="21" s="1"/>
  <c r="AA22" i="21"/>
  <c r="AJ11" i="21" s="1"/>
  <c r="AI36" i="21" s="1"/>
  <c r="AA21" i="21"/>
  <c r="AJ10" i="21" s="1"/>
  <c r="AI35" i="21" s="1"/>
  <c r="AA20" i="21"/>
  <c r="AJ9" i="21" s="1"/>
  <c r="AI34" i="21" s="1"/>
  <c r="AA19" i="21"/>
  <c r="AJ8" i="21" s="1"/>
  <c r="AI33" i="21" s="1"/>
  <c r="AA18" i="21"/>
  <c r="AJ7" i="21" s="1"/>
  <c r="AI32" i="21" s="1"/>
  <c r="AA17" i="21"/>
  <c r="AJ6" i="21" s="1"/>
  <c r="AI31" i="21" s="1"/>
  <c r="AA16" i="21"/>
  <c r="AJ5" i="21" s="1"/>
  <c r="AI30" i="21" s="1"/>
  <c r="AM2" i="21"/>
  <c r="AI4" i="21"/>
  <c r="AK29" i="21" s="1"/>
  <c r="AK4" i="21"/>
  <c r="AL29" i="21" s="1"/>
  <c r="AH4" i="21"/>
  <c r="AM27" i="21" l="1"/>
  <c r="AQ29" i="21"/>
  <c r="AR27" i="21" s="1"/>
  <c r="AL27" i="21"/>
  <c r="AR29" i="21"/>
  <c r="X42" i="21"/>
  <c r="AP31" i="21"/>
  <c r="X43" i="21"/>
  <c r="AP32" i="21"/>
  <c r="X44" i="21"/>
  <c r="AP33" i="21"/>
  <c r="X45" i="21"/>
  <c r="W45" i="21" s="1"/>
  <c r="AP34" i="21"/>
  <c r="X46" i="21"/>
  <c r="AP35" i="21"/>
  <c r="X47" i="21"/>
  <c r="W47" i="21" s="1"/>
  <c r="AP36" i="21"/>
  <c r="X48" i="21"/>
  <c r="AP37" i="21"/>
  <c r="X49" i="21"/>
  <c r="AP38" i="21"/>
  <c r="X50" i="21"/>
  <c r="AP39" i="21"/>
  <c r="X51" i="21"/>
  <c r="W51" i="21" s="1"/>
  <c r="AP40" i="21"/>
  <c r="X52" i="21"/>
  <c r="AP41" i="21"/>
  <c r="X53" i="21"/>
  <c r="AP42" i="21"/>
  <c r="X54" i="21"/>
  <c r="AP43" i="21"/>
  <c r="X55" i="21"/>
  <c r="W55" i="21" s="1"/>
  <c r="AP44" i="21"/>
  <c r="X56" i="21"/>
  <c r="AP45" i="21"/>
  <c r="X57" i="21"/>
  <c r="W57" i="21" s="1"/>
  <c r="AP46" i="21"/>
  <c r="X58" i="21"/>
  <c r="AP47" i="21"/>
  <c r="X59" i="21"/>
  <c r="W59" i="21" s="1"/>
  <c r="AP48" i="21"/>
  <c r="X60" i="21"/>
  <c r="AP49" i="21"/>
  <c r="X61" i="21"/>
  <c r="W61" i="21" s="1"/>
  <c r="AP50" i="21"/>
  <c r="AK27" i="21"/>
  <c r="AS29" i="21"/>
  <c r="AT27" i="21" s="1"/>
  <c r="F200" i="21"/>
  <c r="J200" i="21" s="1"/>
  <c r="B220" i="21"/>
  <c r="F220" i="21" s="1"/>
  <c r="F208" i="21"/>
  <c r="B228" i="21"/>
  <c r="B248" i="21" s="1"/>
  <c r="B226" i="21"/>
  <c r="F226" i="21" s="1"/>
  <c r="B234" i="21"/>
  <c r="F234" i="21" s="1"/>
  <c r="J234" i="21" s="1"/>
  <c r="B236" i="21"/>
  <c r="J203" i="21"/>
  <c r="J211" i="21"/>
  <c r="J219" i="21"/>
  <c r="B227" i="21"/>
  <c r="B235" i="21"/>
  <c r="N489" i="21"/>
  <c r="R489" i="21" s="1"/>
  <c r="V489" i="21" s="1"/>
  <c r="Z489" i="21" s="1"/>
  <c r="I489" i="21"/>
  <c r="B516" i="21"/>
  <c r="F476" i="21"/>
  <c r="J476" i="21" s="1"/>
  <c r="N495" i="21"/>
  <c r="R495" i="21" s="1"/>
  <c r="V495" i="21" s="1"/>
  <c r="Z495" i="21" s="1"/>
  <c r="I495" i="21"/>
  <c r="B506" i="21"/>
  <c r="F466" i="21"/>
  <c r="J466" i="21" s="1"/>
  <c r="B523" i="21"/>
  <c r="F483" i="21"/>
  <c r="J483" i="21" s="1"/>
  <c r="I488" i="21"/>
  <c r="N488" i="21"/>
  <c r="R488" i="21" s="1"/>
  <c r="V488" i="21" s="1"/>
  <c r="Z488" i="21" s="1"/>
  <c r="I454" i="21"/>
  <c r="N454" i="21"/>
  <c r="R454" i="21" s="1"/>
  <c r="V454" i="21" s="1"/>
  <c r="Z454" i="21" s="1"/>
  <c r="N442" i="21"/>
  <c r="R442" i="21" s="1"/>
  <c r="V442" i="21" s="1"/>
  <c r="Z442" i="21" s="1"/>
  <c r="I442" i="21"/>
  <c r="B515" i="21"/>
  <c r="F475" i="21"/>
  <c r="J475" i="21" s="1"/>
  <c r="N511" i="21"/>
  <c r="R511" i="21" s="1"/>
  <c r="V511" i="21" s="1"/>
  <c r="Z511" i="21" s="1"/>
  <c r="I511" i="21"/>
  <c r="J212" i="21"/>
  <c r="F228" i="21"/>
  <c r="N487" i="21"/>
  <c r="R487" i="21" s="1"/>
  <c r="V487" i="21" s="1"/>
  <c r="Z487" i="21" s="1"/>
  <c r="I487" i="21"/>
  <c r="N445" i="21"/>
  <c r="R445" i="21" s="1"/>
  <c r="V445" i="21" s="1"/>
  <c r="Z445" i="21" s="1"/>
  <c r="I445" i="21"/>
  <c r="N444" i="21"/>
  <c r="R444" i="21" s="1"/>
  <c r="V444" i="21" s="1"/>
  <c r="Z444" i="21" s="1"/>
  <c r="I444" i="21"/>
  <c r="B534" i="21"/>
  <c r="F494" i="21"/>
  <c r="J494" i="21" s="1"/>
  <c r="B522" i="21"/>
  <c r="F482" i="21"/>
  <c r="J482" i="21" s="1"/>
  <c r="B532" i="21"/>
  <c r="F492" i="21"/>
  <c r="J492" i="21" s="1"/>
  <c r="B521" i="21"/>
  <c r="F481" i="21"/>
  <c r="J481" i="21" s="1"/>
  <c r="N543" i="21"/>
  <c r="R543" i="21" s="1"/>
  <c r="V543" i="21" s="1"/>
  <c r="Z543" i="21" s="1"/>
  <c r="I543" i="21"/>
  <c r="I502" i="21"/>
  <c r="N502" i="21"/>
  <c r="R502" i="21" s="1"/>
  <c r="V502" i="21" s="1"/>
  <c r="Z502" i="21" s="1"/>
  <c r="N428" i="21"/>
  <c r="R428" i="21" s="1"/>
  <c r="V428" i="21" s="1"/>
  <c r="Z428" i="21" s="1"/>
  <c r="I428" i="21"/>
  <c r="I496" i="21"/>
  <c r="N496" i="21"/>
  <c r="R496" i="21" s="1"/>
  <c r="V496" i="21" s="1"/>
  <c r="Z496" i="21" s="1"/>
  <c r="N490" i="21"/>
  <c r="R490" i="21" s="1"/>
  <c r="V490" i="21" s="1"/>
  <c r="Z490" i="21" s="1"/>
  <c r="I490" i="21"/>
  <c r="J218" i="21"/>
  <c r="J204" i="21"/>
  <c r="J220" i="21"/>
  <c r="B256" i="21"/>
  <c r="F236" i="21"/>
  <c r="B569" i="21"/>
  <c r="F529" i="21"/>
  <c r="J529" i="21" s="1"/>
  <c r="I432" i="21"/>
  <c r="N432" i="21"/>
  <c r="R432" i="21" s="1"/>
  <c r="V432" i="21" s="1"/>
  <c r="Z432" i="21" s="1"/>
  <c r="J205" i="21"/>
  <c r="J213" i="21"/>
  <c r="B221" i="21"/>
  <c r="B229" i="21"/>
  <c r="B237" i="21"/>
  <c r="B575" i="21"/>
  <c r="F535" i="21"/>
  <c r="J535" i="21" s="1"/>
  <c r="B512" i="21"/>
  <c r="F472" i="21"/>
  <c r="J472" i="21" s="1"/>
  <c r="B525" i="21"/>
  <c r="F485" i="21"/>
  <c r="J485" i="21" s="1"/>
  <c r="B568" i="21"/>
  <c r="F528" i="21"/>
  <c r="J528" i="21" s="1"/>
  <c r="B524" i="21"/>
  <c r="F484" i="21"/>
  <c r="J484" i="21" s="1"/>
  <c r="I486" i="21"/>
  <c r="N486" i="21"/>
  <c r="R486" i="21" s="1"/>
  <c r="V486" i="21" s="1"/>
  <c r="Z486" i="21" s="1"/>
  <c r="N425" i="21"/>
  <c r="R425" i="21" s="1"/>
  <c r="V425" i="21" s="1"/>
  <c r="Z425" i="21" s="1"/>
  <c r="I425" i="21"/>
  <c r="B582" i="21"/>
  <c r="F542" i="21"/>
  <c r="J542" i="21" s="1"/>
  <c r="B508" i="21"/>
  <c r="F468" i="21"/>
  <c r="J468" i="21" s="1"/>
  <c r="B576" i="21"/>
  <c r="F536" i="21"/>
  <c r="J536" i="21" s="1"/>
  <c r="B570" i="21"/>
  <c r="F530" i="21"/>
  <c r="J530" i="21" s="1"/>
  <c r="B591" i="21"/>
  <c r="F551" i="21"/>
  <c r="J551" i="21" s="1"/>
  <c r="J202" i="21"/>
  <c r="J206" i="21"/>
  <c r="B566" i="21"/>
  <c r="F526" i="21"/>
  <c r="J526" i="21" s="1"/>
  <c r="I429" i="21"/>
  <c r="N429" i="21"/>
  <c r="R429" i="21" s="1"/>
  <c r="V429" i="21" s="1"/>
  <c r="Z429" i="21" s="1"/>
  <c r="N458" i="21"/>
  <c r="R458" i="21" s="1"/>
  <c r="V458" i="21" s="1"/>
  <c r="Z458" i="21" s="1"/>
  <c r="I458" i="21"/>
  <c r="B623" i="21"/>
  <c r="F583" i="21"/>
  <c r="J583" i="21" s="1"/>
  <c r="I433" i="21"/>
  <c r="N433" i="21"/>
  <c r="R433" i="21" s="1"/>
  <c r="V433" i="21" s="1"/>
  <c r="Z433" i="21" s="1"/>
  <c r="N451" i="21"/>
  <c r="R451" i="21" s="1"/>
  <c r="V451" i="21" s="1"/>
  <c r="Z451" i="21" s="1"/>
  <c r="I451" i="21"/>
  <c r="I427" i="21"/>
  <c r="N427" i="21"/>
  <c r="R427" i="21" s="1"/>
  <c r="V427" i="21" s="1"/>
  <c r="Z427" i="21" s="1"/>
  <c r="J210" i="21"/>
  <c r="J214" i="21"/>
  <c r="B238" i="21"/>
  <c r="J207" i="21"/>
  <c r="J215" i="21"/>
  <c r="B223" i="21"/>
  <c r="B231" i="21"/>
  <c r="B239" i="21"/>
  <c r="I470" i="21"/>
  <c r="N470" i="21"/>
  <c r="R470" i="21" s="1"/>
  <c r="V470" i="21" s="1"/>
  <c r="Z470" i="21" s="1"/>
  <c r="N474" i="21"/>
  <c r="R474" i="21" s="1"/>
  <c r="V474" i="21" s="1"/>
  <c r="Z474" i="21" s="1"/>
  <c r="I474" i="21"/>
  <c r="B505" i="21"/>
  <c r="F465" i="21"/>
  <c r="J465" i="21" s="1"/>
  <c r="B509" i="21"/>
  <c r="F469" i="21"/>
  <c r="J469" i="21" s="1"/>
  <c r="B538" i="21"/>
  <c r="F498" i="21"/>
  <c r="J498" i="21" s="1"/>
  <c r="B513" i="21"/>
  <c r="F473" i="21"/>
  <c r="J473" i="21" s="1"/>
  <c r="N461" i="21"/>
  <c r="R461" i="21" s="1"/>
  <c r="V461" i="21" s="1"/>
  <c r="Z461" i="21" s="1"/>
  <c r="I461" i="21"/>
  <c r="I497" i="21"/>
  <c r="N497" i="21"/>
  <c r="R497" i="21" s="1"/>
  <c r="V497" i="21" s="1"/>
  <c r="Z497" i="21" s="1"/>
  <c r="B230" i="21"/>
  <c r="J208" i="21"/>
  <c r="J216" i="21"/>
  <c r="B224" i="21"/>
  <c r="B232" i="21"/>
  <c r="B240" i="21"/>
  <c r="B539" i="21"/>
  <c r="F499" i="21"/>
  <c r="J499" i="21" s="1"/>
  <c r="B550" i="21"/>
  <c r="F510" i="21"/>
  <c r="J510" i="21" s="1"/>
  <c r="I464" i="21"/>
  <c r="N464" i="21"/>
  <c r="R464" i="21" s="1"/>
  <c r="V464" i="21" s="1"/>
  <c r="Z464" i="21" s="1"/>
  <c r="B554" i="21"/>
  <c r="F514" i="21"/>
  <c r="J514" i="21" s="1"/>
  <c r="N479" i="21"/>
  <c r="R479" i="21" s="1"/>
  <c r="V479" i="21" s="1"/>
  <c r="Z479" i="21" s="1"/>
  <c r="I479" i="21"/>
  <c r="N453" i="21"/>
  <c r="R453" i="21" s="1"/>
  <c r="V453" i="21" s="1"/>
  <c r="Z453" i="21" s="1"/>
  <c r="I453" i="21"/>
  <c r="N477" i="21"/>
  <c r="R477" i="21" s="1"/>
  <c r="V477" i="21" s="1"/>
  <c r="Z477" i="21" s="1"/>
  <c r="I477" i="21"/>
  <c r="B541" i="21"/>
  <c r="F501" i="21"/>
  <c r="J501" i="21" s="1"/>
  <c r="B531" i="21"/>
  <c r="F491" i="21"/>
  <c r="J491" i="21" s="1"/>
  <c r="B577" i="21"/>
  <c r="F537" i="21"/>
  <c r="J537" i="21" s="1"/>
  <c r="B507" i="21"/>
  <c r="F467" i="21"/>
  <c r="J467" i="21" s="1"/>
  <c r="B222" i="21"/>
  <c r="I459" i="21"/>
  <c r="N459" i="21"/>
  <c r="R459" i="21" s="1"/>
  <c r="V459" i="21" s="1"/>
  <c r="Z459" i="21" s="1"/>
  <c r="B567" i="21"/>
  <c r="F527" i="21"/>
  <c r="J527" i="21" s="1"/>
  <c r="X41" i="21"/>
  <c r="W41" i="21" s="1"/>
  <c r="AP30" i="21"/>
  <c r="J201" i="21"/>
  <c r="J209" i="21"/>
  <c r="J217" i="21"/>
  <c r="B225" i="21"/>
  <c r="B233" i="21"/>
  <c r="N436" i="21"/>
  <c r="R436" i="21" s="1"/>
  <c r="V436" i="21" s="1"/>
  <c r="Z436" i="21" s="1"/>
  <c r="I436" i="21"/>
  <c r="I443" i="21"/>
  <c r="N443" i="21"/>
  <c r="R443" i="21" s="1"/>
  <c r="V443" i="21" s="1"/>
  <c r="Z443" i="21" s="1"/>
  <c r="N460" i="21"/>
  <c r="R460" i="21" s="1"/>
  <c r="V460" i="21" s="1"/>
  <c r="Z460" i="21" s="1"/>
  <c r="I460" i="21"/>
  <c r="B533" i="21"/>
  <c r="F493" i="21"/>
  <c r="J493" i="21" s="1"/>
  <c r="B557" i="21"/>
  <c r="F517" i="21"/>
  <c r="J517" i="21" s="1"/>
  <c r="N478" i="21"/>
  <c r="R478" i="21" s="1"/>
  <c r="V478" i="21" s="1"/>
  <c r="Z478" i="21" s="1"/>
  <c r="I478" i="21"/>
  <c r="N435" i="21"/>
  <c r="R435" i="21" s="1"/>
  <c r="V435" i="21" s="1"/>
  <c r="Z435" i="21" s="1"/>
  <c r="I435" i="21"/>
  <c r="I480" i="21"/>
  <c r="N480" i="21"/>
  <c r="R480" i="21" s="1"/>
  <c r="V480" i="21" s="1"/>
  <c r="Z480" i="21" s="1"/>
  <c r="N426" i="21"/>
  <c r="R426" i="21" s="1"/>
  <c r="V426" i="21" s="1"/>
  <c r="Z426" i="21" s="1"/>
  <c r="I426" i="21"/>
  <c r="B544" i="21"/>
  <c r="F504" i="21"/>
  <c r="J504" i="21" s="1"/>
  <c r="B559" i="21"/>
  <c r="F519" i="21"/>
  <c r="J519" i="21" s="1"/>
  <c r="B540" i="21"/>
  <c r="F500" i="21"/>
  <c r="J500" i="21" s="1"/>
  <c r="N452" i="21"/>
  <c r="R452" i="21" s="1"/>
  <c r="V452" i="21" s="1"/>
  <c r="Z452" i="21" s="1"/>
  <c r="I452" i="21"/>
  <c r="N441" i="21"/>
  <c r="R441" i="21" s="1"/>
  <c r="V441" i="21" s="1"/>
  <c r="Z441" i="21" s="1"/>
  <c r="I441" i="21"/>
  <c r="B558" i="21"/>
  <c r="F518" i="21"/>
  <c r="J518" i="21" s="1"/>
  <c r="B560" i="21"/>
  <c r="F520" i="21"/>
  <c r="J520" i="21" s="1"/>
  <c r="W60" i="21"/>
  <c r="W46" i="21"/>
  <c r="W54" i="21"/>
  <c r="W53" i="21"/>
  <c r="W48" i="21"/>
  <c r="W56" i="21"/>
  <c r="W49" i="21"/>
  <c r="W42" i="21"/>
  <c r="W50" i="21"/>
  <c r="W43" i="21"/>
  <c r="W44" i="21"/>
  <c r="W52" i="21"/>
  <c r="W58" i="21"/>
  <c r="AL2" i="21"/>
  <c r="B134" i="21"/>
  <c r="A134" i="21"/>
  <c r="AE13" i="21"/>
  <c r="AD13" i="21"/>
  <c r="AA15" i="21"/>
  <c r="AJ4" i="21" s="1"/>
  <c r="J226" i="21" l="1"/>
  <c r="B246" i="21"/>
  <c r="X39" i="21"/>
  <c r="Y39" i="21" s="1"/>
  <c r="A34" i="5" s="1"/>
  <c r="AH28" i="21" s="1"/>
  <c r="AH45" i="21" s="1"/>
  <c r="B254" i="21"/>
  <c r="B594" i="21"/>
  <c r="F554" i="21"/>
  <c r="J554" i="21" s="1"/>
  <c r="B579" i="21"/>
  <c r="F539" i="21"/>
  <c r="J539" i="21" s="1"/>
  <c r="B259" i="21"/>
  <c r="F239" i="21"/>
  <c r="I536" i="21"/>
  <c r="N536" i="21"/>
  <c r="R536" i="21" s="1"/>
  <c r="V536" i="21" s="1"/>
  <c r="Z536" i="21" s="1"/>
  <c r="N535" i="21"/>
  <c r="R535" i="21" s="1"/>
  <c r="V535" i="21" s="1"/>
  <c r="Z535" i="21" s="1"/>
  <c r="I535" i="21"/>
  <c r="B276" i="21"/>
  <c r="F256" i="21"/>
  <c r="N482" i="21"/>
  <c r="R482" i="21" s="1"/>
  <c r="V482" i="21" s="1"/>
  <c r="Z482" i="21" s="1"/>
  <c r="I482" i="21"/>
  <c r="F235" i="21"/>
  <c r="B255" i="21"/>
  <c r="B553" i="21"/>
  <c r="F513" i="21"/>
  <c r="J513" i="21" s="1"/>
  <c r="I465" i="21"/>
  <c r="N465" i="21"/>
  <c r="R465" i="21" s="1"/>
  <c r="V465" i="21" s="1"/>
  <c r="Z465" i="21" s="1"/>
  <c r="B251" i="21"/>
  <c r="F231" i="21"/>
  <c r="N551" i="21"/>
  <c r="R551" i="21" s="1"/>
  <c r="V551" i="21" s="1"/>
  <c r="Z551" i="21" s="1"/>
  <c r="I551" i="21"/>
  <c r="B616" i="21"/>
  <c r="F576" i="21"/>
  <c r="J576" i="21" s="1"/>
  <c r="B608" i="21"/>
  <c r="F568" i="21"/>
  <c r="J568" i="21" s="1"/>
  <c r="B562" i="21"/>
  <c r="F522" i="21"/>
  <c r="J522" i="21" s="1"/>
  <c r="I475" i="21"/>
  <c r="N475" i="21"/>
  <c r="R475" i="21" s="1"/>
  <c r="V475" i="21" s="1"/>
  <c r="Z475" i="21" s="1"/>
  <c r="F227" i="21"/>
  <c r="B247" i="21"/>
  <c r="B599" i="21"/>
  <c r="F559" i="21"/>
  <c r="J559" i="21" s="1"/>
  <c r="I520" i="21"/>
  <c r="N520" i="21"/>
  <c r="R520" i="21" s="1"/>
  <c r="V520" i="21" s="1"/>
  <c r="Z520" i="21" s="1"/>
  <c r="I504" i="21"/>
  <c r="N504" i="21"/>
  <c r="R504" i="21" s="1"/>
  <c r="V504" i="21" s="1"/>
  <c r="Z504" i="21" s="1"/>
  <c r="N493" i="21"/>
  <c r="R493" i="21" s="1"/>
  <c r="V493" i="21" s="1"/>
  <c r="Z493" i="21" s="1"/>
  <c r="I493" i="21"/>
  <c r="F233" i="21"/>
  <c r="B253" i="21"/>
  <c r="I491" i="21"/>
  <c r="N491" i="21"/>
  <c r="R491" i="21" s="1"/>
  <c r="V491" i="21" s="1"/>
  <c r="Z491" i="21" s="1"/>
  <c r="F232" i="21"/>
  <c r="B252" i="21"/>
  <c r="B250" i="21"/>
  <c r="F230" i="21"/>
  <c r="B545" i="21"/>
  <c r="F505" i="21"/>
  <c r="J505" i="21" s="1"/>
  <c r="B243" i="21"/>
  <c r="F223" i="21"/>
  <c r="N583" i="21"/>
  <c r="R583" i="21" s="1"/>
  <c r="V583" i="21" s="1"/>
  <c r="Z583" i="21" s="1"/>
  <c r="I583" i="21"/>
  <c r="N468" i="21"/>
  <c r="R468" i="21" s="1"/>
  <c r="V468" i="21" s="1"/>
  <c r="Z468" i="21" s="1"/>
  <c r="I468" i="21"/>
  <c r="N485" i="21"/>
  <c r="R485" i="21" s="1"/>
  <c r="V485" i="21" s="1"/>
  <c r="Z485" i="21" s="1"/>
  <c r="I485" i="21"/>
  <c r="B615" i="21"/>
  <c r="F575" i="21"/>
  <c r="J575" i="21" s="1"/>
  <c r="I481" i="21"/>
  <c r="N481" i="21"/>
  <c r="R481" i="21" s="1"/>
  <c r="V481" i="21" s="1"/>
  <c r="Z481" i="21" s="1"/>
  <c r="N483" i="21"/>
  <c r="R483" i="21" s="1"/>
  <c r="V483" i="21" s="1"/>
  <c r="Z483" i="21" s="1"/>
  <c r="I483" i="21"/>
  <c r="B597" i="21"/>
  <c r="F557" i="21"/>
  <c r="J557" i="21" s="1"/>
  <c r="N537" i="21"/>
  <c r="R537" i="21" s="1"/>
  <c r="V537" i="21" s="1"/>
  <c r="Z537" i="21" s="1"/>
  <c r="I537" i="21"/>
  <c r="B242" i="21"/>
  <c r="F222" i="21"/>
  <c r="B617" i="21"/>
  <c r="F577" i="21"/>
  <c r="J577" i="21" s="1"/>
  <c r="F240" i="21"/>
  <c r="B260" i="21"/>
  <c r="B600" i="21"/>
  <c r="F560" i="21"/>
  <c r="J560" i="21" s="1"/>
  <c r="B584" i="21"/>
  <c r="F544" i="21"/>
  <c r="J544" i="21" s="1"/>
  <c r="B573" i="21"/>
  <c r="F533" i="21"/>
  <c r="J533" i="21" s="1"/>
  <c r="F225" i="21"/>
  <c r="B245" i="21"/>
  <c r="F224" i="21"/>
  <c r="B244" i="21"/>
  <c r="N498" i="21"/>
  <c r="R498" i="21" s="1"/>
  <c r="V498" i="21" s="1"/>
  <c r="Z498" i="21" s="1"/>
  <c r="I498" i="21"/>
  <c r="N526" i="21"/>
  <c r="R526" i="21" s="1"/>
  <c r="V526" i="21" s="1"/>
  <c r="Z526" i="21" s="1"/>
  <c r="I526" i="21"/>
  <c r="F591" i="21"/>
  <c r="J591" i="21" s="1"/>
  <c r="B257" i="21"/>
  <c r="F237" i="21"/>
  <c r="B561" i="21"/>
  <c r="F521" i="21"/>
  <c r="J521" i="21" s="1"/>
  <c r="N494" i="21"/>
  <c r="R494" i="21" s="1"/>
  <c r="V494" i="21" s="1"/>
  <c r="Z494" i="21" s="1"/>
  <c r="I494" i="21"/>
  <c r="J228" i="21"/>
  <c r="B555" i="21"/>
  <c r="F515" i="21"/>
  <c r="J515" i="21" s="1"/>
  <c r="N476" i="21"/>
  <c r="R476" i="21" s="1"/>
  <c r="V476" i="21" s="1"/>
  <c r="Z476" i="21" s="1"/>
  <c r="I476" i="21"/>
  <c r="N500" i="21"/>
  <c r="R500" i="21" s="1"/>
  <c r="V500" i="21" s="1"/>
  <c r="Z500" i="21" s="1"/>
  <c r="I500" i="21"/>
  <c r="N527" i="21"/>
  <c r="R527" i="21" s="1"/>
  <c r="V527" i="21" s="1"/>
  <c r="Z527" i="21" s="1"/>
  <c r="I527" i="21"/>
  <c r="N467" i="21"/>
  <c r="R467" i="21" s="1"/>
  <c r="V467" i="21" s="1"/>
  <c r="Z467" i="21" s="1"/>
  <c r="I467" i="21"/>
  <c r="B571" i="21"/>
  <c r="F531" i="21"/>
  <c r="J531" i="21" s="1"/>
  <c r="N510" i="21"/>
  <c r="R510" i="21" s="1"/>
  <c r="V510" i="21" s="1"/>
  <c r="Z510" i="21" s="1"/>
  <c r="I510" i="21"/>
  <c r="B578" i="21"/>
  <c r="F538" i="21"/>
  <c r="J538" i="21" s="1"/>
  <c r="F623" i="21"/>
  <c r="J623" i="21" s="1"/>
  <c r="B606" i="21"/>
  <c r="F566" i="21"/>
  <c r="J566" i="21" s="1"/>
  <c r="B548" i="21"/>
  <c r="F508" i="21"/>
  <c r="J508" i="21" s="1"/>
  <c r="N484" i="21"/>
  <c r="R484" i="21" s="1"/>
  <c r="V484" i="21" s="1"/>
  <c r="Z484" i="21" s="1"/>
  <c r="I484" i="21"/>
  <c r="B565" i="21"/>
  <c r="F525" i="21"/>
  <c r="J525" i="21" s="1"/>
  <c r="B249" i="21"/>
  <c r="F229" i="21"/>
  <c r="B574" i="21"/>
  <c r="F534" i="21"/>
  <c r="J534" i="21" s="1"/>
  <c r="B268" i="21"/>
  <c r="F248" i="21"/>
  <c r="B563" i="21"/>
  <c r="F523" i="21"/>
  <c r="J523" i="21" s="1"/>
  <c r="B556" i="21"/>
  <c r="F516" i="21"/>
  <c r="J516" i="21" s="1"/>
  <c r="I518" i="21"/>
  <c r="N518" i="21"/>
  <c r="R518" i="21" s="1"/>
  <c r="V518" i="21" s="1"/>
  <c r="Z518" i="21" s="1"/>
  <c r="N530" i="21"/>
  <c r="R530" i="21" s="1"/>
  <c r="V530" i="21" s="1"/>
  <c r="Z530" i="21" s="1"/>
  <c r="I530" i="21"/>
  <c r="B241" i="21"/>
  <c r="F221" i="21"/>
  <c r="I529" i="21"/>
  <c r="N529" i="21"/>
  <c r="R529" i="21" s="1"/>
  <c r="V529" i="21" s="1"/>
  <c r="Z529" i="21" s="1"/>
  <c r="N492" i="21"/>
  <c r="R492" i="21" s="1"/>
  <c r="V492" i="21" s="1"/>
  <c r="Z492" i="21" s="1"/>
  <c r="I492" i="21"/>
  <c r="B590" i="21"/>
  <c r="F550" i="21"/>
  <c r="J550" i="21" s="1"/>
  <c r="B598" i="21"/>
  <c r="F558" i="21"/>
  <c r="J558" i="21" s="1"/>
  <c r="B607" i="21"/>
  <c r="F567" i="21"/>
  <c r="J567" i="21" s="1"/>
  <c r="N501" i="21"/>
  <c r="R501" i="21" s="1"/>
  <c r="V501" i="21" s="1"/>
  <c r="Z501" i="21" s="1"/>
  <c r="I501" i="21"/>
  <c r="N499" i="21"/>
  <c r="R499" i="21" s="1"/>
  <c r="V499" i="21" s="1"/>
  <c r="Z499" i="21" s="1"/>
  <c r="I499" i="21"/>
  <c r="N469" i="21"/>
  <c r="R469" i="21" s="1"/>
  <c r="V469" i="21" s="1"/>
  <c r="Z469" i="21" s="1"/>
  <c r="I469" i="21"/>
  <c r="B610" i="21"/>
  <c r="F570" i="21"/>
  <c r="J570" i="21" s="1"/>
  <c r="N542" i="21"/>
  <c r="R542" i="21" s="1"/>
  <c r="V542" i="21" s="1"/>
  <c r="Z542" i="21" s="1"/>
  <c r="I542" i="21"/>
  <c r="B564" i="21"/>
  <c r="F524" i="21"/>
  <c r="J524" i="21" s="1"/>
  <c r="I472" i="21"/>
  <c r="N472" i="21"/>
  <c r="R472" i="21" s="1"/>
  <c r="V472" i="21" s="1"/>
  <c r="Z472" i="21" s="1"/>
  <c r="B609" i="21"/>
  <c r="F569" i="21"/>
  <c r="J569" i="21" s="1"/>
  <c r="B572" i="21"/>
  <c r="F532" i="21"/>
  <c r="J532" i="21" s="1"/>
  <c r="N466" i="21"/>
  <c r="R466" i="21" s="1"/>
  <c r="V466" i="21" s="1"/>
  <c r="Z466" i="21" s="1"/>
  <c r="I466" i="21"/>
  <c r="B580" i="21"/>
  <c r="F540" i="21"/>
  <c r="J540" i="21" s="1"/>
  <c r="N519" i="21"/>
  <c r="R519" i="21" s="1"/>
  <c r="V519" i="21" s="1"/>
  <c r="Z519" i="21" s="1"/>
  <c r="I519" i="21"/>
  <c r="B547" i="21"/>
  <c r="F507" i="21"/>
  <c r="J507" i="21" s="1"/>
  <c r="N517" i="21"/>
  <c r="R517" i="21" s="1"/>
  <c r="V517" i="21" s="1"/>
  <c r="Z517" i="21" s="1"/>
  <c r="I517" i="21"/>
  <c r="B581" i="21"/>
  <c r="F541" i="21"/>
  <c r="J541" i="21" s="1"/>
  <c r="I514" i="21"/>
  <c r="N514" i="21"/>
  <c r="R514" i="21" s="1"/>
  <c r="V514" i="21" s="1"/>
  <c r="Z514" i="21" s="1"/>
  <c r="N473" i="21"/>
  <c r="R473" i="21" s="1"/>
  <c r="V473" i="21" s="1"/>
  <c r="Z473" i="21" s="1"/>
  <c r="I473" i="21"/>
  <c r="B549" i="21"/>
  <c r="F509" i="21"/>
  <c r="J509" i="21" s="1"/>
  <c r="B274" i="21"/>
  <c r="F254" i="21"/>
  <c r="B258" i="21"/>
  <c r="F238" i="21"/>
  <c r="B622" i="21"/>
  <c r="F582" i="21"/>
  <c r="J582" i="21" s="1"/>
  <c r="I528" i="21"/>
  <c r="N528" i="21"/>
  <c r="R528" i="21" s="1"/>
  <c r="V528" i="21" s="1"/>
  <c r="Z528" i="21" s="1"/>
  <c r="B552" i="21"/>
  <c r="F512" i="21"/>
  <c r="J512" i="21" s="1"/>
  <c r="J236" i="21"/>
  <c r="B546" i="21"/>
  <c r="F506" i="21"/>
  <c r="J506" i="21" s="1"/>
  <c r="B266" i="21"/>
  <c r="F246" i="21"/>
  <c r="AK2" i="21"/>
  <c r="AI29" i="21"/>
  <c r="AB11" i="21"/>
  <c r="AB10" i="21"/>
  <c r="AB9" i="21"/>
  <c r="AB8" i="21"/>
  <c r="AB7" i="21"/>
  <c r="AB6" i="21"/>
  <c r="AB5" i="21"/>
  <c r="AB4" i="21"/>
  <c r="AC2" i="21" s="1"/>
  <c r="AH41" i="21" l="1"/>
  <c r="AH32" i="21"/>
  <c r="AH35" i="21"/>
  <c r="AH49" i="21"/>
  <c r="AH43" i="21"/>
  <c r="AH30" i="21"/>
  <c r="AH40" i="21"/>
  <c r="AH46" i="21"/>
  <c r="AH47" i="21"/>
  <c r="AH33" i="21"/>
  <c r="AH36" i="21"/>
  <c r="AH50" i="21"/>
  <c r="AH42" i="21"/>
  <c r="AH39" i="21"/>
  <c r="AH38" i="21"/>
  <c r="AH31" i="21"/>
  <c r="AH37" i="21"/>
  <c r="AH44" i="21"/>
  <c r="AH48" i="21"/>
  <c r="AH34" i="21"/>
  <c r="B261" i="21"/>
  <c r="F241" i="21"/>
  <c r="I523" i="21"/>
  <c r="N523" i="21"/>
  <c r="R523" i="21" s="1"/>
  <c r="V523" i="21" s="1"/>
  <c r="Z523" i="21" s="1"/>
  <c r="J229" i="21"/>
  <c r="N508" i="21"/>
  <c r="R508" i="21" s="1"/>
  <c r="V508" i="21" s="1"/>
  <c r="Z508" i="21" s="1"/>
  <c r="I508" i="21"/>
  <c r="N538" i="21"/>
  <c r="R538" i="21" s="1"/>
  <c r="V538" i="21" s="1"/>
  <c r="Z538" i="21" s="1"/>
  <c r="I538" i="21"/>
  <c r="B601" i="21"/>
  <c r="F561" i="21"/>
  <c r="J561" i="21" s="1"/>
  <c r="I544" i="21"/>
  <c r="N544" i="21"/>
  <c r="R544" i="21" s="1"/>
  <c r="V544" i="21" s="1"/>
  <c r="Z544" i="21" s="1"/>
  <c r="I557" i="21"/>
  <c r="N557" i="21"/>
  <c r="R557" i="21" s="1"/>
  <c r="V557" i="21" s="1"/>
  <c r="Z557" i="21" s="1"/>
  <c r="F615" i="21"/>
  <c r="J615" i="21" s="1"/>
  <c r="B263" i="21"/>
  <c r="F243" i="21"/>
  <c r="J256" i="21"/>
  <c r="B589" i="21"/>
  <c r="F549" i="21"/>
  <c r="J549" i="21" s="1"/>
  <c r="B620" i="21"/>
  <c r="F580" i="21"/>
  <c r="J580" i="21" s="1"/>
  <c r="F609" i="21"/>
  <c r="J609" i="21" s="1"/>
  <c r="I550" i="21"/>
  <c r="N550" i="21"/>
  <c r="R550" i="21" s="1"/>
  <c r="V550" i="21" s="1"/>
  <c r="Z550" i="21" s="1"/>
  <c r="B269" i="21"/>
  <c r="F249" i="21"/>
  <c r="B588" i="21"/>
  <c r="F548" i="21"/>
  <c r="J548" i="21" s="1"/>
  <c r="B618" i="21"/>
  <c r="F578" i="21"/>
  <c r="J578" i="21" s="1"/>
  <c r="B595" i="21"/>
  <c r="F555" i="21"/>
  <c r="J555" i="21" s="1"/>
  <c r="J237" i="21"/>
  <c r="B264" i="21"/>
  <c r="F244" i="21"/>
  <c r="I577" i="21"/>
  <c r="N577" i="21"/>
  <c r="R577" i="21" s="1"/>
  <c r="V577" i="21" s="1"/>
  <c r="Z577" i="21" s="1"/>
  <c r="F597" i="21"/>
  <c r="J597" i="21" s="1"/>
  <c r="F616" i="21"/>
  <c r="J616" i="21" s="1"/>
  <c r="I513" i="21"/>
  <c r="N513" i="21"/>
  <c r="R513" i="21" s="1"/>
  <c r="V513" i="21" s="1"/>
  <c r="Z513" i="21" s="1"/>
  <c r="B296" i="21"/>
  <c r="F276" i="21"/>
  <c r="I539" i="21"/>
  <c r="N539" i="21"/>
  <c r="R539" i="21" s="1"/>
  <c r="V539" i="21" s="1"/>
  <c r="Z539" i="21" s="1"/>
  <c r="N569" i="21"/>
  <c r="R569" i="21" s="1"/>
  <c r="V569" i="21" s="1"/>
  <c r="Z569" i="21" s="1"/>
  <c r="I569" i="21"/>
  <c r="F622" i="21"/>
  <c r="J622" i="21" s="1"/>
  <c r="I512" i="21"/>
  <c r="N512" i="21"/>
  <c r="R512" i="21" s="1"/>
  <c r="V512" i="21" s="1"/>
  <c r="Z512" i="21" s="1"/>
  <c r="J238" i="21"/>
  <c r="I507" i="21"/>
  <c r="N507" i="21"/>
  <c r="R507" i="21" s="1"/>
  <c r="V507" i="21" s="1"/>
  <c r="Z507" i="21" s="1"/>
  <c r="N570" i="21"/>
  <c r="R570" i="21" s="1"/>
  <c r="V570" i="21" s="1"/>
  <c r="Z570" i="21" s="1"/>
  <c r="I570" i="21"/>
  <c r="N567" i="21"/>
  <c r="R567" i="21" s="1"/>
  <c r="V567" i="21" s="1"/>
  <c r="Z567" i="21" s="1"/>
  <c r="I567" i="21"/>
  <c r="F590" i="21"/>
  <c r="J590" i="21" s="1"/>
  <c r="B603" i="21"/>
  <c r="F563" i="21"/>
  <c r="J563" i="21" s="1"/>
  <c r="B277" i="21"/>
  <c r="F257" i="21"/>
  <c r="J224" i="21"/>
  <c r="B624" i="21"/>
  <c r="F584" i="21"/>
  <c r="J584" i="21" s="1"/>
  <c r="F617" i="21"/>
  <c r="J617" i="21" s="1"/>
  <c r="N505" i="21"/>
  <c r="R505" i="21" s="1"/>
  <c r="V505" i="21" s="1"/>
  <c r="Z505" i="21" s="1"/>
  <c r="I505" i="21"/>
  <c r="B273" i="21"/>
  <c r="F253" i="21"/>
  <c r="N559" i="21"/>
  <c r="R559" i="21" s="1"/>
  <c r="V559" i="21" s="1"/>
  <c r="Z559" i="21" s="1"/>
  <c r="I559" i="21"/>
  <c r="N522" i="21"/>
  <c r="R522" i="21" s="1"/>
  <c r="V522" i="21" s="1"/>
  <c r="Z522" i="21" s="1"/>
  <c r="I522" i="21"/>
  <c r="B593" i="21"/>
  <c r="F553" i="21"/>
  <c r="J553" i="21" s="1"/>
  <c r="I582" i="21"/>
  <c r="N582" i="21"/>
  <c r="R582" i="21" s="1"/>
  <c r="V582" i="21" s="1"/>
  <c r="Z582" i="21" s="1"/>
  <c r="J246" i="21"/>
  <c r="J248" i="21"/>
  <c r="N525" i="21"/>
  <c r="R525" i="21" s="1"/>
  <c r="V525" i="21" s="1"/>
  <c r="Z525" i="21" s="1"/>
  <c r="I525" i="21"/>
  <c r="I566" i="21"/>
  <c r="N566" i="21"/>
  <c r="R566" i="21" s="1"/>
  <c r="V566" i="21" s="1"/>
  <c r="Z566" i="21" s="1"/>
  <c r="N591" i="21"/>
  <c r="R591" i="21" s="1"/>
  <c r="V591" i="21" s="1"/>
  <c r="Z591" i="21" s="1"/>
  <c r="I591" i="21"/>
  <c r="B265" i="21"/>
  <c r="F245" i="21"/>
  <c r="J222" i="21"/>
  <c r="B585" i="21"/>
  <c r="F545" i="21"/>
  <c r="J545" i="21" s="1"/>
  <c r="J233" i="21"/>
  <c r="B602" i="21"/>
  <c r="F562" i="21"/>
  <c r="J562" i="21" s="1"/>
  <c r="B619" i="21"/>
  <c r="F579" i="21"/>
  <c r="J579" i="21" s="1"/>
  <c r="B286" i="21"/>
  <c r="F266" i="21"/>
  <c r="B592" i="21"/>
  <c r="F552" i="21"/>
  <c r="J552" i="21" s="1"/>
  <c r="J254" i="21"/>
  <c r="B587" i="21"/>
  <c r="F547" i="21"/>
  <c r="J547" i="21" s="1"/>
  <c r="F607" i="21"/>
  <c r="J607" i="21" s="1"/>
  <c r="B288" i="21"/>
  <c r="F268" i="21"/>
  <c r="B605" i="21"/>
  <c r="F565" i="21"/>
  <c r="J565" i="21" s="1"/>
  <c r="F606" i="21"/>
  <c r="J606" i="21" s="1"/>
  <c r="N531" i="21"/>
  <c r="R531" i="21" s="1"/>
  <c r="V531" i="21" s="1"/>
  <c r="Z531" i="21" s="1"/>
  <c r="I531" i="21"/>
  <c r="J225" i="21"/>
  <c r="I560" i="21"/>
  <c r="N560" i="21"/>
  <c r="R560" i="21" s="1"/>
  <c r="V560" i="21" s="1"/>
  <c r="Z560" i="21" s="1"/>
  <c r="B262" i="21"/>
  <c r="F242" i="21"/>
  <c r="J230" i="21"/>
  <c r="F599" i="21"/>
  <c r="J599" i="21" s="1"/>
  <c r="J231" i="21"/>
  <c r="B275" i="21"/>
  <c r="F255" i="21"/>
  <c r="B278" i="21"/>
  <c r="F258" i="21"/>
  <c r="F610" i="21"/>
  <c r="J610" i="21" s="1"/>
  <c r="B294" i="21"/>
  <c r="F274" i="21"/>
  <c r="N532" i="21"/>
  <c r="R532" i="21" s="1"/>
  <c r="V532" i="21" s="1"/>
  <c r="Z532" i="21" s="1"/>
  <c r="I532" i="21"/>
  <c r="N524" i="21"/>
  <c r="R524" i="21" s="1"/>
  <c r="V524" i="21" s="1"/>
  <c r="Z524" i="21" s="1"/>
  <c r="I524" i="21"/>
  <c r="N623" i="21"/>
  <c r="R623" i="21" s="1"/>
  <c r="V623" i="21" s="1"/>
  <c r="Z623" i="21" s="1"/>
  <c r="I623" i="21"/>
  <c r="F600" i="21"/>
  <c r="J600" i="21" s="1"/>
  <c r="B270" i="21"/>
  <c r="F250" i="21"/>
  <c r="B267" i="21"/>
  <c r="F247" i="21"/>
  <c r="I568" i="21"/>
  <c r="N568" i="21"/>
  <c r="R568" i="21" s="1"/>
  <c r="V568" i="21" s="1"/>
  <c r="Z568" i="21" s="1"/>
  <c r="B271" i="21"/>
  <c r="F251" i="21"/>
  <c r="J235" i="21"/>
  <c r="N554" i="21"/>
  <c r="R554" i="21" s="1"/>
  <c r="V554" i="21" s="1"/>
  <c r="Z554" i="21" s="1"/>
  <c r="I554" i="21"/>
  <c r="X40" i="21"/>
  <c r="AP29" i="21"/>
  <c r="N506" i="21"/>
  <c r="R506" i="21" s="1"/>
  <c r="V506" i="21" s="1"/>
  <c r="Z506" i="21" s="1"/>
  <c r="I506" i="21"/>
  <c r="N541" i="21"/>
  <c r="R541" i="21" s="1"/>
  <c r="V541" i="21" s="1"/>
  <c r="Z541" i="21" s="1"/>
  <c r="I541" i="21"/>
  <c r="B612" i="21"/>
  <c r="F572" i="21"/>
  <c r="J572" i="21" s="1"/>
  <c r="B604" i="21"/>
  <c r="F564" i="21"/>
  <c r="J564" i="21" s="1"/>
  <c r="N558" i="21"/>
  <c r="R558" i="21" s="1"/>
  <c r="V558" i="21" s="1"/>
  <c r="Z558" i="21" s="1"/>
  <c r="I558" i="21"/>
  <c r="N516" i="21"/>
  <c r="R516" i="21" s="1"/>
  <c r="V516" i="21" s="1"/>
  <c r="Z516" i="21" s="1"/>
  <c r="I516" i="21"/>
  <c r="I534" i="21"/>
  <c r="N534" i="21"/>
  <c r="R534" i="21" s="1"/>
  <c r="V534" i="21" s="1"/>
  <c r="Z534" i="21" s="1"/>
  <c r="B611" i="21"/>
  <c r="F571" i="21"/>
  <c r="J571" i="21" s="1"/>
  <c r="N533" i="21"/>
  <c r="R533" i="21" s="1"/>
  <c r="V533" i="21" s="1"/>
  <c r="Z533" i="21" s="1"/>
  <c r="I533" i="21"/>
  <c r="B280" i="21"/>
  <c r="F260" i="21"/>
  <c r="N575" i="21"/>
  <c r="R575" i="21" s="1"/>
  <c r="V575" i="21" s="1"/>
  <c r="Z575" i="21" s="1"/>
  <c r="I575" i="21"/>
  <c r="B272" i="21"/>
  <c r="F252" i="21"/>
  <c r="J227" i="21"/>
  <c r="F608" i="21"/>
  <c r="J608" i="21" s="1"/>
  <c r="J239" i="21"/>
  <c r="F594" i="21"/>
  <c r="J594" i="21" s="1"/>
  <c r="B586" i="21"/>
  <c r="F546" i="21"/>
  <c r="J546" i="21" s="1"/>
  <c r="N509" i="21"/>
  <c r="R509" i="21" s="1"/>
  <c r="V509" i="21" s="1"/>
  <c r="Z509" i="21" s="1"/>
  <c r="I509" i="21"/>
  <c r="B621" i="21"/>
  <c r="F581" i="21"/>
  <c r="J581" i="21" s="1"/>
  <c r="N540" i="21"/>
  <c r="R540" i="21" s="1"/>
  <c r="V540" i="21" s="1"/>
  <c r="Z540" i="21" s="1"/>
  <c r="I540" i="21"/>
  <c r="F598" i="21"/>
  <c r="J598" i="21" s="1"/>
  <c r="J221" i="21"/>
  <c r="B596" i="21"/>
  <c r="F556" i="21"/>
  <c r="J556" i="21" s="1"/>
  <c r="B614" i="21"/>
  <c r="F574" i="21"/>
  <c r="J574" i="21" s="1"/>
  <c r="N515" i="21"/>
  <c r="R515" i="21" s="1"/>
  <c r="V515" i="21" s="1"/>
  <c r="Z515" i="21" s="1"/>
  <c r="I515" i="21"/>
  <c r="N521" i="21"/>
  <c r="R521" i="21" s="1"/>
  <c r="V521" i="21" s="1"/>
  <c r="Z521" i="21" s="1"/>
  <c r="I521" i="21"/>
  <c r="B613" i="21"/>
  <c r="F573" i="21"/>
  <c r="J573" i="21" s="1"/>
  <c r="J240" i="21"/>
  <c r="J223" i="21"/>
  <c r="J232" i="21"/>
  <c r="I576" i="21"/>
  <c r="N576" i="21"/>
  <c r="R576" i="21" s="1"/>
  <c r="V576" i="21" s="1"/>
  <c r="Z576" i="21" s="1"/>
  <c r="B279" i="21"/>
  <c r="F259" i="21"/>
  <c r="P63" i="21"/>
  <c r="P62" i="21"/>
  <c r="P61" i="21"/>
  <c r="P60" i="21"/>
  <c r="P59" i="21"/>
  <c r="P58" i="21"/>
  <c r="AA11" i="21"/>
  <c r="AA10" i="21"/>
  <c r="AA9" i="21"/>
  <c r="AA8" i="21"/>
  <c r="AA7" i="21"/>
  <c r="AA6" i="21"/>
  <c r="AA4" i="21"/>
  <c r="AA5" i="21"/>
  <c r="O74" i="21"/>
  <c r="O73" i="21"/>
  <c r="O72" i="21"/>
  <c r="O71" i="21"/>
  <c r="O70" i="21"/>
  <c r="O69" i="21"/>
  <c r="O68" i="21"/>
  <c r="F596" i="21" l="1"/>
  <c r="J596" i="21" s="1"/>
  <c r="J252" i="21"/>
  <c r="I571" i="21"/>
  <c r="N571" i="21"/>
  <c r="R571" i="21" s="1"/>
  <c r="V571" i="21" s="1"/>
  <c r="Z571" i="21" s="1"/>
  <c r="B290" i="21"/>
  <c r="F270" i="21"/>
  <c r="B295" i="21"/>
  <c r="F275" i="21"/>
  <c r="B282" i="21"/>
  <c r="F262" i="21"/>
  <c r="N606" i="21"/>
  <c r="R606" i="21" s="1"/>
  <c r="V606" i="21" s="1"/>
  <c r="Z606" i="21" s="1"/>
  <c r="I606" i="21"/>
  <c r="N547" i="21"/>
  <c r="R547" i="21" s="1"/>
  <c r="V547" i="21" s="1"/>
  <c r="Z547" i="21" s="1"/>
  <c r="I547" i="21"/>
  <c r="J266" i="21"/>
  <c r="B285" i="21"/>
  <c r="F265" i="21"/>
  <c r="B297" i="21"/>
  <c r="F277" i="21"/>
  <c r="J244" i="21"/>
  <c r="N578" i="21"/>
  <c r="R578" i="21" s="1"/>
  <c r="V578" i="21" s="1"/>
  <c r="Z578" i="21" s="1"/>
  <c r="I578" i="21"/>
  <c r="F589" i="21"/>
  <c r="J589" i="21" s="1"/>
  <c r="J251" i="21"/>
  <c r="J274" i="21"/>
  <c r="B306" i="21"/>
  <c r="F286" i="21"/>
  <c r="N617" i="21"/>
  <c r="R617" i="21" s="1"/>
  <c r="V617" i="21" s="1"/>
  <c r="Z617" i="21" s="1"/>
  <c r="I617" i="21"/>
  <c r="N563" i="21"/>
  <c r="R563" i="21" s="1"/>
  <c r="V563" i="21" s="1"/>
  <c r="Z563" i="21" s="1"/>
  <c r="I563" i="21"/>
  <c r="N622" i="21"/>
  <c r="R622" i="21" s="1"/>
  <c r="V622" i="21" s="1"/>
  <c r="Z622" i="21" s="1"/>
  <c r="I622" i="21"/>
  <c r="B284" i="21"/>
  <c r="F264" i="21"/>
  <c r="F618" i="21"/>
  <c r="J618" i="21" s="1"/>
  <c r="F621" i="21"/>
  <c r="J621" i="21" s="1"/>
  <c r="F611" i="21"/>
  <c r="J611" i="21" s="1"/>
  <c r="N564" i="21"/>
  <c r="R564" i="21" s="1"/>
  <c r="V564" i="21" s="1"/>
  <c r="Z564" i="21" s="1"/>
  <c r="I564" i="21"/>
  <c r="B291" i="21"/>
  <c r="F271" i="21"/>
  <c r="I600" i="21"/>
  <c r="N600" i="21"/>
  <c r="R600" i="21" s="1"/>
  <c r="V600" i="21" s="1"/>
  <c r="Z600" i="21" s="1"/>
  <c r="B314" i="21"/>
  <c r="F294" i="21"/>
  <c r="N565" i="21"/>
  <c r="R565" i="21" s="1"/>
  <c r="V565" i="21" s="1"/>
  <c r="Z565" i="21" s="1"/>
  <c r="I565" i="21"/>
  <c r="F587" i="21"/>
  <c r="J587" i="21" s="1"/>
  <c r="N579" i="21"/>
  <c r="R579" i="21" s="1"/>
  <c r="V579" i="21" s="1"/>
  <c r="Z579" i="21" s="1"/>
  <c r="I579" i="21"/>
  <c r="I609" i="21"/>
  <c r="N609" i="21"/>
  <c r="R609" i="21" s="1"/>
  <c r="V609" i="21" s="1"/>
  <c r="Z609" i="21" s="1"/>
  <c r="N594" i="21"/>
  <c r="R594" i="21" s="1"/>
  <c r="V594" i="21" s="1"/>
  <c r="Z594" i="21" s="1"/>
  <c r="I594" i="21"/>
  <c r="F604" i="21"/>
  <c r="J604" i="21" s="1"/>
  <c r="I599" i="21"/>
  <c r="N599" i="21"/>
  <c r="R599" i="21" s="1"/>
  <c r="V599" i="21" s="1"/>
  <c r="Z599" i="21" s="1"/>
  <c r="F605" i="21"/>
  <c r="J605" i="21" s="1"/>
  <c r="I545" i="21"/>
  <c r="N545" i="21"/>
  <c r="R545" i="21" s="1"/>
  <c r="V545" i="21" s="1"/>
  <c r="Z545" i="21" s="1"/>
  <c r="I584" i="21"/>
  <c r="N584" i="21"/>
  <c r="R584" i="21" s="1"/>
  <c r="V584" i="21" s="1"/>
  <c r="Z584" i="21" s="1"/>
  <c r="F603" i="21"/>
  <c r="J603" i="21" s="1"/>
  <c r="I616" i="21"/>
  <c r="N616" i="21"/>
  <c r="R616" i="21" s="1"/>
  <c r="V616" i="21" s="1"/>
  <c r="Z616" i="21" s="1"/>
  <c r="N548" i="21"/>
  <c r="R548" i="21" s="1"/>
  <c r="V548" i="21" s="1"/>
  <c r="Z548" i="21" s="1"/>
  <c r="I548" i="21"/>
  <c r="J243" i="21"/>
  <c r="I608" i="21"/>
  <c r="N608" i="21"/>
  <c r="R608" i="21" s="1"/>
  <c r="V608" i="21" s="1"/>
  <c r="Z608" i="21" s="1"/>
  <c r="N572" i="21"/>
  <c r="R572" i="21" s="1"/>
  <c r="V572" i="21" s="1"/>
  <c r="Z572" i="21" s="1"/>
  <c r="I572" i="21"/>
  <c r="N610" i="21"/>
  <c r="R610" i="21" s="1"/>
  <c r="V610" i="21" s="1"/>
  <c r="Z610" i="21" s="1"/>
  <c r="I610" i="21"/>
  <c r="J268" i="21"/>
  <c r="F619" i="21"/>
  <c r="J619" i="21" s="1"/>
  <c r="B625" i="21"/>
  <c r="F585" i="21"/>
  <c r="J585" i="21" s="1"/>
  <c r="J253" i="21"/>
  <c r="F624" i="21"/>
  <c r="J624" i="21" s="1"/>
  <c r="I555" i="21"/>
  <c r="N555" i="21"/>
  <c r="R555" i="21" s="1"/>
  <c r="V555" i="21" s="1"/>
  <c r="Z555" i="21" s="1"/>
  <c r="F588" i="21"/>
  <c r="J588" i="21" s="1"/>
  <c r="N580" i="21"/>
  <c r="R580" i="21" s="1"/>
  <c r="V580" i="21" s="1"/>
  <c r="Z580" i="21" s="1"/>
  <c r="I580" i="21"/>
  <c r="B283" i="21"/>
  <c r="F263" i="21"/>
  <c r="I561" i="21"/>
  <c r="N561" i="21"/>
  <c r="R561" i="21" s="1"/>
  <c r="V561" i="21" s="1"/>
  <c r="Z561" i="21" s="1"/>
  <c r="B292" i="21"/>
  <c r="F272" i="21"/>
  <c r="B299" i="21"/>
  <c r="F279" i="21"/>
  <c r="N574" i="21"/>
  <c r="R574" i="21" s="1"/>
  <c r="V574" i="21" s="1"/>
  <c r="Z574" i="21" s="1"/>
  <c r="I574" i="21"/>
  <c r="I598" i="21"/>
  <c r="N598" i="21"/>
  <c r="R598" i="21" s="1"/>
  <c r="V598" i="21" s="1"/>
  <c r="Z598" i="21" s="1"/>
  <c r="B300" i="21"/>
  <c r="F280" i="21"/>
  <c r="J247" i="21"/>
  <c r="J258" i="21"/>
  <c r="B308" i="21"/>
  <c r="F288" i="21"/>
  <c r="B293" i="21"/>
  <c r="F273" i="21"/>
  <c r="N590" i="21"/>
  <c r="R590" i="21" s="1"/>
  <c r="V590" i="21" s="1"/>
  <c r="Z590" i="21" s="1"/>
  <c r="I590" i="21"/>
  <c r="N597" i="21"/>
  <c r="R597" i="21" s="1"/>
  <c r="V597" i="21" s="1"/>
  <c r="Z597" i="21" s="1"/>
  <c r="I597" i="21"/>
  <c r="J249" i="21"/>
  <c r="F620" i="21"/>
  <c r="J620" i="21" s="1"/>
  <c r="N615" i="21"/>
  <c r="R615" i="21" s="1"/>
  <c r="V615" i="21" s="1"/>
  <c r="Z615" i="21" s="1"/>
  <c r="I615" i="21"/>
  <c r="F601" i="21"/>
  <c r="J601" i="21" s="1"/>
  <c r="N581" i="21"/>
  <c r="R581" i="21" s="1"/>
  <c r="V581" i="21" s="1"/>
  <c r="Z581" i="21" s="1"/>
  <c r="I581" i="21"/>
  <c r="F614" i="21"/>
  <c r="J614" i="21" s="1"/>
  <c r="N546" i="21"/>
  <c r="R546" i="21" s="1"/>
  <c r="V546" i="21" s="1"/>
  <c r="Z546" i="21" s="1"/>
  <c r="I546" i="21"/>
  <c r="F612" i="21"/>
  <c r="J612" i="21" s="1"/>
  <c r="B287" i="21"/>
  <c r="F267" i="21"/>
  <c r="B298" i="21"/>
  <c r="F278" i="21"/>
  <c r="N607" i="21"/>
  <c r="R607" i="21" s="1"/>
  <c r="V607" i="21" s="1"/>
  <c r="Z607" i="21" s="1"/>
  <c r="I607" i="21"/>
  <c r="I552" i="21"/>
  <c r="N552" i="21"/>
  <c r="R552" i="21" s="1"/>
  <c r="V552" i="21" s="1"/>
  <c r="Z552" i="21" s="1"/>
  <c r="N562" i="21"/>
  <c r="R562" i="21" s="1"/>
  <c r="V562" i="21" s="1"/>
  <c r="Z562" i="21" s="1"/>
  <c r="I562" i="21"/>
  <c r="N553" i="21"/>
  <c r="R553" i="21" s="1"/>
  <c r="V553" i="21" s="1"/>
  <c r="Z553" i="21" s="1"/>
  <c r="I553" i="21"/>
  <c r="J276" i="21"/>
  <c r="F595" i="21"/>
  <c r="J595" i="21" s="1"/>
  <c r="B289" i="21"/>
  <c r="F269" i="21"/>
  <c r="J241" i="21"/>
  <c r="J259" i="21"/>
  <c r="J260" i="21"/>
  <c r="N573" i="21"/>
  <c r="R573" i="21" s="1"/>
  <c r="V573" i="21" s="1"/>
  <c r="Z573" i="21" s="1"/>
  <c r="I573" i="21"/>
  <c r="F613" i="21"/>
  <c r="J613" i="21" s="1"/>
  <c r="N556" i="21"/>
  <c r="R556" i="21" s="1"/>
  <c r="V556" i="21" s="1"/>
  <c r="Z556" i="21" s="1"/>
  <c r="I556" i="21"/>
  <c r="F586" i="21"/>
  <c r="J586" i="21" s="1"/>
  <c r="J250" i="21"/>
  <c r="J255" i="21"/>
  <c r="J242" i="21"/>
  <c r="F592" i="21"/>
  <c r="J592" i="21" s="1"/>
  <c r="F602" i="21"/>
  <c r="J602" i="21" s="1"/>
  <c r="J245" i="21"/>
  <c r="F593" i="21"/>
  <c r="J593" i="21" s="1"/>
  <c r="J257" i="21"/>
  <c r="B316" i="21"/>
  <c r="F296" i="21"/>
  <c r="N549" i="21"/>
  <c r="R549" i="21" s="1"/>
  <c r="V549" i="21" s="1"/>
  <c r="Z549" i="21" s="1"/>
  <c r="I549" i="21"/>
  <c r="B281" i="21"/>
  <c r="F261" i="21"/>
  <c r="O63" i="21"/>
  <c r="O62" i="21"/>
  <c r="O61" i="21"/>
  <c r="O60" i="21"/>
  <c r="O59" i="21"/>
  <c r="O58" i="21"/>
  <c r="N63" i="21"/>
  <c r="N62" i="21"/>
  <c r="N61" i="21"/>
  <c r="N60" i="21"/>
  <c r="N59" i="21"/>
  <c r="N58" i="21"/>
  <c r="N56" i="21"/>
  <c r="Q52" i="21"/>
  <c r="Q51" i="21"/>
  <c r="Q50" i="21"/>
  <c r="Q49" i="21"/>
  <c r="Q48" i="21"/>
  <c r="Q47" i="21"/>
  <c r="Q46" i="21"/>
  <c r="Q45" i="21"/>
  <c r="Q44" i="21"/>
  <c r="Q43" i="21"/>
  <c r="Q42" i="21"/>
  <c r="Q41" i="21"/>
  <c r="Q40" i="21"/>
  <c r="Q39" i="21"/>
  <c r="Q38" i="21"/>
  <c r="Q37" i="21"/>
  <c r="Q36" i="21"/>
  <c r="P52" i="21"/>
  <c r="P51" i="21"/>
  <c r="P50" i="21"/>
  <c r="P49" i="21"/>
  <c r="P48" i="21"/>
  <c r="P47" i="21"/>
  <c r="P46" i="21"/>
  <c r="P45" i="21"/>
  <c r="P44" i="21"/>
  <c r="P43" i="21"/>
  <c r="P42" i="21"/>
  <c r="P41" i="21"/>
  <c r="P40" i="21"/>
  <c r="P39" i="21"/>
  <c r="P38" i="21"/>
  <c r="P37" i="21"/>
  <c r="P36" i="21"/>
  <c r="O35" i="21"/>
  <c r="P56" i="21" l="1"/>
  <c r="A18" i="4"/>
  <c r="J263" i="21"/>
  <c r="J280" i="21"/>
  <c r="B305" i="21"/>
  <c r="F285" i="21"/>
  <c r="B336" i="21"/>
  <c r="F336" i="21" s="1"/>
  <c r="F316" i="21"/>
  <c r="N602" i="21"/>
  <c r="R602" i="21" s="1"/>
  <c r="V602" i="21" s="1"/>
  <c r="Z602" i="21" s="1"/>
  <c r="I602" i="21"/>
  <c r="B309" i="21"/>
  <c r="F289" i="21"/>
  <c r="B307" i="21"/>
  <c r="F287" i="21"/>
  <c r="B328" i="21"/>
  <c r="F328" i="21" s="1"/>
  <c r="F308" i="21"/>
  <c r="I619" i="21"/>
  <c r="N619" i="21"/>
  <c r="R619" i="21" s="1"/>
  <c r="V619" i="21" s="1"/>
  <c r="Z619" i="21" s="1"/>
  <c r="N605" i="21"/>
  <c r="R605" i="21" s="1"/>
  <c r="V605" i="21" s="1"/>
  <c r="Z605" i="21" s="1"/>
  <c r="I605" i="21"/>
  <c r="B334" i="21"/>
  <c r="F334" i="21" s="1"/>
  <c r="F314" i="21"/>
  <c r="J270" i="21"/>
  <c r="N595" i="21"/>
  <c r="R595" i="21" s="1"/>
  <c r="V595" i="21" s="1"/>
  <c r="Z595" i="21" s="1"/>
  <c r="I595" i="21"/>
  <c r="N586" i="21"/>
  <c r="R586" i="21" s="1"/>
  <c r="V586" i="21" s="1"/>
  <c r="Z586" i="21" s="1"/>
  <c r="I586" i="21"/>
  <c r="N612" i="21"/>
  <c r="R612" i="21" s="1"/>
  <c r="V612" i="21" s="1"/>
  <c r="Z612" i="21" s="1"/>
  <c r="I612" i="21"/>
  <c r="N601" i="21"/>
  <c r="R601" i="21" s="1"/>
  <c r="V601" i="21" s="1"/>
  <c r="Z601" i="21" s="1"/>
  <c r="I601" i="21"/>
  <c r="B303" i="21"/>
  <c r="F283" i="21"/>
  <c r="N621" i="21"/>
  <c r="R621" i="21" s="1"/>
  <c r="V621" i="21" s="1"/>
  <c r="Z621" i="21" s="1"/>
  <c r="I621" i="21"/>
  <c r="J277" i="21"/>
  <c r="I603" i="21"/>
  <c r="N603" i="21"/>
  <c r="R603" i="21" s="1"/>
  <c r="V603" i="21" s="1"/>
  <c r="Z603" i="21" s="1"/>
  <c r="B310" i="21"/>
  <c r="F290" i="21"/>
  <c r="J279" i="21"/>
  <c r="N604" i="21"/>
  <c r="R604" i="21" s="1"/>
  <c r="V604" i="21" s="1"/>
  <c r="Z604" i="21" s="1"/>
  <c r="I604" i="21"/>
  <c r="I587" i="21"/>
  <c r="N587" i="21"/>
  <c r="R587" i="21" s="1"/>
  <c r="V587" i="21" s="1"/>
  <c r="Z587" i="21" s="1"/>
  <c r="J271" i="21"/>
  <c r="B317" i="21"/>
  <c r="F297" i="21"/>
  <c r="I592" i="21"/>
  <c r="N592" i="21"/>
  <c r="R592" i="21" s="1"/>
  <c r="V592" i="21" s="1"/>
  <c r="Z592" i="21" s="1"/>
  <c r="J261" i="21"/>
  <c r="B301" i="21"/>
  <c r="F281" i="21"/>
  <c r="I593" i="21"/>
  <c r="N593" i="21"/>
  <c r="R593" i="21" s="1"/>
  <c r="V593" i="21" s="1"/>
  <c r="Z593" i="21" s="1"/>
  <c r="B319" i="21"/>
  <c r="F299" i="21"/>
  <c r="B311" i="21"/>
  <c r="F291" i="21"/>
  <c r="J265" i="21"/>
  <c r="J262" i="21"/>
  <c r="I624" i="21"/>
  <c r="N624" i="21"/>
  <c r="R624" i="21" s="1"/>
  <c r="V624" i="21" s="1"/>
  <c r="Z624" i="21" s="1"/>
  <c r="J278" i="21"/>
  <c r="N620" i="21"/>
  <c r="R620" i="21" s="1"/>
  <c r="V620" i="21" s="1"/>
  <c r="Z620" i="21" s="1"/>
  <c r="I620" i="21"/>
  <c r="J272" i="21"/>
  <c r="N618" i="21"/>
  <c r="R618" i="21" s="1"/>
  <c r="V618" i="21" s="1"/>
  <c r="Z618" i="21" s="1"/>
  <c r="I618" i="21"/>
  <c r="N613" i="21"/>
  <c r="R613" i="21" s="1"/>
  <c r="V613" i="21" s="1"/>
  <c r="Z613" i="21" s="1"/>
  <c r="I613" i="21"/>
  <c r="B318" i="21"/>
  <c r="F298" i="21"/>
  <c r="I614" i="21"/>
  <c r="N614" i="21"/>
  <c r="R614" i="21" s="1"/>
  <c r="V614" i="21" s="1"/>
  <c r="Z614" i="21" s="1"/>
  <c r="B313" i="21"/>
  <c r="F293" i="21"/>
  <c r="B320" i="21"/>
  <c r="F300" i="21"/>
  <c r="B312" i="21"/>
  <c r="F292" i="21"/>
  <c r="N588" i="21"/>
  <c r="R588" i="21" s="1"/>
  <c r="V588" i="21" s="1"/>
  <c r="Z588" i="21" s="1"/>
  <c r="I588" i="21"/>
  <c r="N585" i="21"/>
  <c r="R585" i="21" s="1"/>
  <c r="V585" i="21" s="1"/>
  <c r="Z585" i="21" s="1"/>
  <c r="I585" i="21"/>
  <c r="J264" i="21"/>
  <c r="J286" i="21"/>
  <c r="J275" i="21"/>
  <c r="J273" i="21"/>
  <c r="N589" i="21"/>
  <c r="R589" i="21" s="1"/>
  <c r="V589" i="21" s="1"/>
  <c r="Z589" i="21" s="1"/>
  <c r="I589" i="21"/>
  <c r="B302" i="21"/>
  <c r="F282" i="21"/>
  <c r="J296" i="21"/>
  <c r="J269" i="21"/>
  <c r="J267" i="21"/>
  <c r="J288" i="21"/>
  <c r="F625" i="21"/>
  <c r="J625" i="21" s="1"/>
  <c r="J294" i="21"/>
  <c r="N611" i="21"/>
  <c r="R611" i="21" s="1"/>
  <c r="V611" i="21" s="1"/>
  <c r="Z611" i="21" s="1"/>
  <c r="I611" i="21"/>
  <c r="B304" i="21"/>
  <c r="F284" i="21"/>
  <c r="B326" i="21"/>
  <c r="F326" i="21" s="1"/>
  <c r="F306" i="21"/>
  <c r="B315" i="21"/>
  <c r="F295" i="21"/>
  <c r="N596" i="21"/>
  <c r="R596" i="21" s="1"/>
  <c r="V596" i="21" s="1"/>
  <c r="Z596" i="21" s="1"/>
  <c r="I596" i="21"/>
  <c r="O51" i="21"/>
  <c r="O52" i="21"/>
  <c r="O37" i="21"/>
  <c r="O46" i="21"/>
  <c r="O39" i="21"/>
  <c r="O43" i="21"/>
  <c r="O38" i="21"/>
  <c r="O48" i="21"/>
  <c r="O47" i="21"/>
  <c r="O40" i="21"/>
  <c r="O41" i="21"/>
  <c r="O49" i="21"/>
  <c r="O44" i="21"/>
  <c r="O45" i="21"/>
  <c r="O42" i="21"/>
  <c r="O50" i="21"/>
  <c r="Z118" i="21"/>
  <c r="G98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G78" i="21"/>
  <c r="G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Z14" i="20" s="1"/>
  <c r="Z15" i="20" s="1"/>
  <c r="Z17" i="20" s="1"/>
  <c r="Z18" i="20" s="1"/>
  <c r="Z20" i="20" s="1"/>
  <c r="Z12" i="20"/>
  <c r="Z16" i="20" s="1"/>
  <c r="AD75" i="26"/>
  <c r="AD74" i="26"/>
  <c r="AD73" i="26"/>
  <c r="AD72" i="26"/>
  <c r="AD71" i="26"/>
  <c r="AD70" i="26"/>
  <c r="AD69" i="26"/>
  <c r="AD68" i="26"/>
  <c r="AD67" i="26"/>
  <c r="AD66" i="26"/>
  <c r="AD65" i="26"/>
  <c r="AD64" i="26"/>
  <c r="AD63" i="26"/>
  <c r="AE63" i="26" s="1"/>
  <c r="AD62" i="26"/>
  <c r="AD61" i="26"/>
  <c r="AD60" i="26"/>
  <c r="AD59" i="26"/>
  <c r="AD58" i="26"/>
  <c r="AD57" i="26"/>
  <c r="AD56" i="26"/>
  <c r="AD55" i="26"/>
  <c r="AD54" i="26"/>
  <c r="AD53" i="26"/>
  <c r="AD52" i="26"/>
  <c r="AD51" i="26"/>
  <c r="AD50" i="26"/>
  <c r="AD49" i="26"/>
  <c r="AD48" i="26"/>
  <c r="AD47" i="26"/>
  <c r="AD46" i="26"/>
  <c r="AD45" i="26"/>
  <c r="AD44" i="26"/>
  <c r="AD43" i="26"/>
  <c r="AD42" i="26"/>
  <c r="AE42" i="26" s="1"/>
  <c r="AD41" i="26"/>
  <c r="AD40" i="26"/>
  <c r="AD39" i="26"/>
  <c r="AD38" i="26"/>
  <c r="AD37" i="26"/>
  <c r="AE37" i="26" s="1"/>
  <c r="Y75" i="26"/>
  <c r="Y74" i="26"/>
  <c r="Y73" i="26"/>
  <c r="Y72" i="26"/>
  <c r="Y71" i="26"/>
  <c r="Y70" i="26"/>
  <c r="Y69" i="26"/>
  <c r="Y68" i="26"/>
  <c r="Y67" i="26"/>
  <c r="Y66" i="26"/>
  <c r="Y65" i="26"/>
  <c r="Y64" i="26"/>
  <c r="Y63" i="26"/>
  <c r="Y62" i="26"/>
  <c r="Y61" i="26"/>
  <c r="Y60" i="26"/>
  <c r="Y59" i="26"/>
  <c r="Y58" i="26"/>
  <c r="Y57" i="26"/>
  <c r="Y56" i="26"/>
  <c r="Y55" i="26"/>
  <c r="Y54" i="26"/>
  <c r="Y53" i="26"/>
  <c r="Y52" i="26"/>
  <c r="Y51" i="26"/>
  <c r="Y50" i="26"/>
  <c r="Y49" i="26"/>
  <c r="Y48" i="26"/>
  <c r="Y47" i="26"/>
  <c r="Y46" i="26"/>
  <c r="Y45" i="26"/>
  <c r="Y44" i="26"/>
  <c r="Y43" i="26"/>
  <c r="Y42" i="26"/>
  <c r="Y41" i="26"/>
  <c r="Y40" i="26"/>
  <c r="Y39" i="26"/>
  <c r="Y38" i="26"/>
  <c r="Y37" i="26"/>
  <c r="Y36" i="26"/>
  <c r="AD36" i="26"/>
  <c r="AE36" i="26" s="1"/>
  <c r="AE19" i="26"/>
  <c r="AE18" i="26"/>
  <c r="AD19" i="26"/>
  <c r="AD18" i="26"/>
  <c r="N59" i="26"/>
  <c r="N58" i="26"/>
  <c r="N37" i="26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36" i="26"/>
  <c r="L67" i="26"/>
  <c r="L66" i="26"/>
  <c r="L65" i="26"/>
  <c r="L64" i="26"/>
  <c r="L63" i="26"/>
  <c r="L62" i="26"/>
  <c r="L61" i="26"/>
  <c r="K67" i="26"/>
  <c r="K66" i="26"/>
  <c r="K65" i="26"/>
  <c r="K64" i="26"/>
  <c r="L60" i="26" s="1"/>
  <c r="K63" i="26"/>
  <c r="L59" i="26" s="1"/>
  <c r="K55" i="26"/>
  <c r="L51" i="26" s="1"/>
  <c r="J67" i="26"/>
  <c r="J66" i="26"/>
  <c r="K62" i="26" s="1"/>
  <c r="L58" i="26" s="1"/>
  <c r="J65" i="26"/>
  <c r="K61" i="26" s="1"/>
  <c r="L57" i="26" s="1"/>
  <c r="J64" i="26"/>
  <c r="K60" i="26" s="1"/>
  <c r="L56" i="26" s="1"/>
  <c r="J63" i="26"/>
  <c r="K59" i="26" s="1"/>
  <c r="L55" i="26" s="1"/>
  <c r="J62" i="26"/>
  <c r="K58" i="26" s="1"/>
  <c r="L54" i="26" s="1"/>
  <c r="J59" i="26"/>
  <c r="J58" i="26"/>
  <c r="K54" i="26" s="1"/>
  <c r="L50" i="26" s="1"/>
  <c r="J57" i="26"/>
  <c r="K53" i="26" s="1"/>
  <c r="L49" i="26" s="1"/>
  <c r="J56" i="26"/>
  <c r="K52" i="26" s="1"/>
  <c r="L48" i="26" s="1"/>
  <c r="I65" i="26"/>
  <c r="J61" i="26" s="1"/>
  <c r="K57" i="26" s="1"/>
  <c r="L53" i="26" s="1"/>
  <c r="I64" i="26"/>
  <c r="J60" i="26" s="1"/>
  <c r="K56" i="26" s="1"/>
  <c r="L52" i="26" s="1"/>
  <c r="I63" i="26"/>
  <c r="I62" i="26"/>
  <c r="I61" i="26"/>
  <c r="I60" i="26"/>
  <c r="I59" i="26"/>
  <c r="J55" i="26" s="1"/>
  <c r="K51" i="26" s="1"/>
  <c r="L47" i="26" s="1"/>
  <c r="I57" i="26"/>
  <c r="J53" i="26" s="1"/>
  <c r="K49" i="26" s="1"/>
  <c r="L45" i="26" s="1"/>
  <c r="I56" i="26"/>
  <c r="J52" i="26" s="1"/>
  <c r="K48" i="26" s="1"/>
  <c r="L44" i="26" s="1"/>
  <c r="H61" i="26"/>
  <c r="I58" i="26" s="1"/>
  <c r="J54" i="26" s="1"/>
  <c r="K50" i="26" s="1"/>
  <c r="L46" i="26" s="1"/>
  <c r="H60" i="26"/>
  <c r="H59" i="26"/>
  <c r="H58" i="26"/>
  <c r="I55" i="26" s="1"/>
  <c r="J51" i="26" s="1"/>
  <c r="K47" i="26" s="1"/>
  <c r="L43" i="26" s="1"/>
  <c r="H54" i="26"/>
  <c r="I51" i="26" s="1"/>
  <c r="J47" i="26" s="1"/>
  <c r="K43" i="26" s="1"/>
  <c r="G60" i="26"/>
  <c r="H57" i="26" s="1"/>
  <c r="I54" i="26" s="1"/>
  <c r="J50" i="26" s="1"/>
  <c r="K46" i="26" s="1"/>
  <c r="L42" i="26" s="1"/>
  <c r="G59" i="26"/>
  <c r="H56" i="26" s="1"/>
  <c r="I53" i="26" s="1"/>
  <c r="J49" i="26" s="1"/>
  <c r="K45" i="26" s="1"/>
  <c r="G58" i="26"/>
  <c r="H55" i="26" s="1"/>
  <c r="I52" i="26" s="1"/>
  <c r="J48" i="26" s="1"/>
  <c r="K44" i="26" s="1"/>
  <c r="G57" i="26"/>
  <c r="G56" i="26"/>
  <c r="H53" i="26" s="1"/>
  <c r="I50" i="26" s="1"/>
  <c r="J46" i="26" s="1"/>
  <c r="K42" i="26" s="1"/>
  <c r="G55" i="26"/>
  <c r="H52" i="26" s="1"/>
  <c r="I49" i="26" s="1"/>
  <c r="J45" i="26" s="1"/>
  <c r="G54" i="26"/>
  <c r="H51" i="26" s="1"/>
  <c r="I48" i="26" s="1"/>
  <c r="J44" i="26" s="1"/>
  <c r="G53" i="26"/>
  <c r="H50" i="26" s="1"/>
  <c r="I47" i="26" s="1"/>
  <c r="J43" i="26" s="1"/>
  <c r="G52" i="26"/>
  <c r="H49" i="26" s="1"/>
  <c r="I46" i="26" s="1"/>
  <c r="J42" i="26" s="1"/>
  <c r="G51" i="26"/>
  <c r="H48" i="26" s="1"/>
  <c r="I45" i="26" s="1"/>
  <c r="G50" i="26"/>
  <c r="H47" i="26" s="1"/>
  <c r="I44" i="26" s="1"/>
  <c r="G49" i="26"/>
  <c r="H46" i="26" s="1"/>
  <c r="I43" i="26" s="1"/>
  <c r="G48" i="26"/>
  <c r="H45" i="26" s="1"/>
  <c r="I42" i="26" s="1"/>
  <c r="G47" i="26"/>
  <c r="H44" i="26" s="1"/>
  <c r="G46" i="26"/>
  <c r="H43" i="26" s="1"/>
  <c r="G45" i="26"/>
  <c r="H42" i="26" s="1"/>
  <c r="G44" i="26"/>
  <c r="G43" i="26"/>
  <c r="G42" i="26"/>
  <c r="L35" i="26"/>
  <c r="K35" i="26"/>
  <c r="J35" i="26"/>
  <c r="I35" i="26"/>
  <c r="H35" i="26"/>
  <c r="G35" i="26"/>
  <c r="F35" i="26"/>
  <c r="A12" i="4"/>
  <c r="AA16" i="26"/>
  <c r="Z16" i="26"/>
  <c r="Y16" i="26"/>
  <c r="X16" i="26"/>
  <c r="X18" i="26" s="1"/>
  <c r="W16" i="26"/>
  <c r="W18" i="26" s="1"/>
  <c r="AA18" i="26"/>
  <c r="Z18" i="26"/>
  <c r="Y18" i="26"/>
  <c r="V18" i="26"/>
  <c r="V16" i="26"/>
  <c r="AL9" i="26"/>
  <c r="AK9" i="26"/>
  <c r="AJ9" i="26"/>
  <c r="AI9" i="26"/>
  <c r="AH9" i="26"/>
  <c r="AG9" i="26"/>
  <c r="AF9" i="26"/>
  <c r="AE9" i="26"/>
  <c r="AD9" i="26"/>
  <c r="AC9" i="26"/>
  <c r="AB9" i="26"/>
  <c r="AA9" i="26"/>
  <c r="Z9" i="26"/>
  <c r="Y9" i="26"/>
  <c r="X9" i="26"/>
  <c r="AL7" i="26"/>
  <c r="AK7" i="26"/>
  <c r="AJ7" i="26"/>
  <c r="AI7" i="26"/>
  <c r="AH7" i="26"/>
  <c r="AG7" i="26"/>
  <c r="AF7" i="26"/>
  <c r="AE7" i="26"/>
  <c r="AD7" i="26"/>
  <c r="AC7" i="26"/>
  <c r="AB7" i="26"/>
  <c r="AA7" i="26"/>
  <c r="Z7" i="26"/>
  <c r="Y7" i="26"/>
  <c r="X7" i="26"/>
  <c r="V10" i="26"/>
  <c r="V9" i="26"/>
  <c r="B338" i="21" l="1"/>
  <c r="F338" i="21" s="1"/>
  <c r="F318" i="21"/>
  <c r="J295" i="21"/>
  <c r="J293" i="21"/>
  <c r="J299" i="21"/>
  <c r="J314" i="21"/>
  <c r="J287" i="21"/>
  <c r="J285" i="21"/>
  <c r="B333" i="21"/>
  <c r="F333" i="21" s="1"/>
  <c r="F313" i="21"/>
  <c r="J334" i="21"/>
  <c r="B327" i="21"/>
  <c r="F327" i="21" s="1"/>
  <c r="F307" i="21"/>
  <c r="B325" i="21"/>
  <c r="F325" i="21" s="1"/>
  <c r="F305" i="21"/>
  <c r="J297" i="21"/>
  <c r="J289" i="21"/>
  <c r="J326" i="21"/>
  <c r="I625" i="21"/>
  <c r="J343" i="21" s="1"/>
  <c r="K343" i="21" s="1"/>
  <c r="A16" i="15" s="1"/>
  <c r="N625" i="21"/>
  <c r="R625" i="21" s="1"/>
  <c r="V625" i="21" s="1"/>
  <c r="Z625" i="21" s="1"/>
  <c r="B337" i="21"/>
  <c r="F337" i="21" s="1"/>
  <c r="F317" i="21"/>
  <c r="B329" i="21"/>
  <c r="F329" i="21" s="1"/>
  <c r="F309" i="21"/>
  <c r="B335" i="21"/>
  <c r="F335" i="21" s="1"/>
  <c r="F315" i="21"/>
  <c r="B339" i="21"/>
  <c r="F339" i="21" s="1"/>
  <c r="F319" i="21"/>
  <c r="J306" i="21"/>
  <c r="J284" i="21"/>
  <c r="J282" i="21"/>
  <c r="J292" i="21"/>
  <c r="J298" i="21"/>
  <c r="J281" i="21"/>
  <c r="J290" i="21"/>
  <c r="J283" i="21"/>
  <c r="B321" i="21"/>
  <c r="F321" i="21" s="1"/>
  <c r="F301" i="21"/>
  <c r="B330" i="21"/>
  <c r="F330" i="21" s="1"/>
  <c r="F310" i="21"/>
  <c r="B323" i="21"/>
  <c r="F323" i="21" s="1"/>
  <c r="F303" i="21"/>
  <c r="B324" i="21"/>
  <c r="F324" i="21" s="1"/>
  <c r="F304" i="21"/>
  <c r="B332" i="21"/>
  <c r="F332" i="21" s="1"/>
  <c r="F312" i="21"/>
  <c r="J300" i="21"/>
  <c r="J291" i="21"/>
  <c r="J308" i="21"/>
  <c r="J316" i="21"/>
  <c r="B322" i="21"/>
  <c r="F322" i="21" s="1"/>
  <c r="F302" i="21"/>
  <c r="B340" i="21"/>
  <c r="F340" i="21" s="1"/>
  <c r="F320" i="21"/>
  <c r="B331" i="21"/>
  <c r="F331" i="21" s="1"/>
  <c r="F311" i="21"/>
  <c r="J328" i="21"/>
  <c r="J336" i="21"/>
  <c r="A36" i="4"/>
  <c r="T32" i="21"/>
  <c r="T31" i="21"/>
  <c r="T30" i="21"/>
  <c r="T29" i="21"/>
  <c r="T28" i="21"/>
  <c r="T27" i="21"/>
  <c r="T26" i="21"/>
  <c r="T25" i="21"/>
  <c r="T24" i="21"/>
  <c r="T23" i="21"/>
  <c r="T22" i="21"/>
  <c r="T21" i="21"/>
  <c r="T20" i="21"/>
  <c r="T19" i="21"/>
  <c r="T18" i="21"/>
  <c r="T17" i="21"/>
  <c r="T16" i="21"/>
  <c r="T15" i="21"/>
  <c r="T14" i="21"/>
  <c r="T13" i="21"/>
  <c r="T12" i="21"/>
  <c r="T11" i="21"/>
  <c r="T10" i="21"/>
  <c r="T9" i="21"/>
  <c r="T8" i="21"/>
  <c r="T7" i="21"/>
  <c r="T6" i="21"/>
  <c r="T5" i="21"/>
  <c r="X30" i="21"/>
  <c r="X29" i="21"/>
  <c r="X28" i="21"/>
  <c r="X27" i="21"/>
  <c r="X26" i="21"/>
  <c r="X25" i="21"/>
  <c r="X24" i="21"/>
  <c r="X23" i="21"/>
  <c r="X22" i="21"/>
  <c r="X21" i="21"/>
  <c r="X20" i="21"/>
  <c r="X19" i="21"/>
  <c r="X18" i="21"/>
  <c r="X17" i="21"/>
  <c r="X16" i="21"/>
  <c r="X15" i="21"/>
  <c r="X14" i="21"/>
  <c r="X13" i="21"/>
  <c r="X12" i="21"/>
  <c r="X11" i="21"/>
  <c r="X10" i="21"/>
  <c r="X9" i="21"/>
  <c r="X8" i="21"/>
  <c r="X7" i="21"/>
  <c r="X6" i="21"/>
  <c r="X5" i="21"/>
  <c r="W30" i="21"/>
  <c r="W29" i="21"/>
  <c r="W28" i="21"/>
  <c r="W27" i="21"/>
  <c r="W26" i="21"/>
  <c r="W25" i="21"/>
  <c r="W24" i="21"/>
  <c r="W23" i="21"/>
  <c r="W22" i="21"/>
  <c r="W21" i="21"/>
  <c r="W20" i="21"/>
  <c r="W19" i="21"/>
  <c r="W18" i="21"/>
  <c r="W17" i="21"/>
  <c r="W16" i="21"/>
  <c r="W15" i="21"/>
  <c r="W14" i="21"/>
  <c r="W13" i="21"/>
  <c r="W12" i="21"/>
  <c r="W11" i="21"/>
  <c r="W10" i="21"/>
  <c r="W9" i="21"/>
  <c r="W8" i="21"/>
  <c r="W7" i="21"/>
  <c r="W6" i="21"/>
  <c r="W5" i="21"/>
  <c r="V30" i="21"/>
  <c r="V29" i="21"/>
  <c r="V28" i="21"/>
  <c r="V27" i="21"/>
  <c r="V26" i="21"/>
  <c r="V25" i="21"/>
  <c r="V24" i="21"/>
  <c r="V23" i="21"/>
  <c r="V22" i="21"/>
  <c r="V21" i="21"/>
  <c r="V20" i="21"/>
  <c r="V19" i="21"/>
  <c r="V18" i="21"/>
  <c r="V17" i="21"/>
  <c r="V16" i="21"/>
  <c r="V15" i="21"/>
  <c r="V14" i="21"/>
  <c r="V13" i="21"/>
  <c r="V12" i="21"/>
  <c r="V11" i="21"/>
  <c r="V10" i="21"/>
  <c r="V9" i="21"/>
  <c r="V8" i="21"/>
  <c r="V7" i="21"/>
  <c r="V6" i="21"/>
  <c r="V5" i="21"/>
  <c r="R35" i="21" l="1"/>
  <c r="A44" i="7" s="1"/>
  <c r="Q35" i="21"/>
  <c r="A42" i="7" s="1"/>
  <c r="J301" i="21"/>
  <c r="J321" i="21"/>
  <c r="J317" i="21"/>
  <c r="J332" i="21"/>
  <c r="J337" i="21"/>
  <c r="J313" i="21"/>
  <c r="J320" i="21"/>
  <c r="J303" i="21"/>
  <c r="J307" i="21"/>
  <c r="J340" i="21"/>
  <c r="J323" i="21"/>
  <c r="J335" i="21"/>
  <c r="J327" i="21"/>
  <c r="J302" i="21"/>
  <c r="J310" i="21"/>
  <c r="J309" i="21"/>
  <c r="J318" i="21"/>
  <c r="J312" i="21"/>
  <c r="J333" i="21"/>
  <c r="J311" i="21"/>
  <c r="J304" i="21"/>
  <c r="J319" i="21"/>
  <c r="J305" i="21"/>
  <c r="J331" i="21"/>
  <c r="J324" i="21"/>
  <c r="J339" i="21"/>
  <c r="J325" i="21"/>
  <c r="J315" i="21"/>
  <c r="J322" i="21"/>
  <c r="J330" i="21"/>
  <c r="J329" i="21"/>
  <c r="J338" i="21"/>
  <c r="R28" i="26"/>
  <c r="R27" i="26"/>
  <c r="R26" i="26"/>
  <c r="R25" i="26"/>
  <c r="R24" i="26"/>
  <c r="R23" i="26"/>
  <c r="R22" i="26"/>
  <c r="R21" i="26"/>
  <c r="R20" i="26"/>
  <c r="R19" i="26"/>
  <c r="R18" i="26"/>
  <c r="R17" i="26"/>
  <c r="R16" i="26"/>
  <c r="R15" i="26"/>
  <c r="R14" i="26"/>
  <c r="R13" i="26"/>
  <c r="R12" i="26"/>
  <c r="R11" i="26"/>
  <c r="R10" i="26"/>
  <c r="R9" i="26"/>
  <c r="R8" i="26"/>
  <c r="R7" i="26"/>
  <c r="R6" i="26"/>
  <c r="R5" i="26"/>
  <c r="R4" i="26"/>
  <c r="R3" i="26"/>
  <c r="S2" i="21" l="1"/>
  <c r="R4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S18" i="21"/>
  <c r="S17" i="21"/>
  <c r="S16" i="21"/>
  <c r="S15" i="21"/>
  <c r="S14" i="21"/>
  <c r="S13" i="21"/>
  <c r="S12" i="21"/>
  <c r="S11" i="21"/>
  <c r="S10" i="21"/>
  <c r="S9" i="21"/>
  <c r="S8" i="21"/>
  <c r="S7" i="21"/>
  <c r="S6" i="21"/>
  <c r="S5" i="21"/>
  <c r="Q32" i="21"/>
  <c r="Q31" i="21"/>
  <c r="Q30" i="21"/>
  <c r="Q29" i="21"/>
  <c r="Q28" i="21"/>
  <c r="Q27" i="21"/>
  <c r="Q26" i="21"/>
  <c r="Q25" i="21"/>
  <c r="Q24" i="21"/>
  <c r="Q23" i="21"/>
  <c r="Q22" i="21"/>
  <c r="Q21" i="21"/>
  <c r="Q20" i="21"/>
  <c r="Q19" i="21"/>
  <c r="Q18" i="21"/>
  <c r="Q17" i="21"/>
  <c r="Q16" i="21"/>
  <c r="Q15" i="21"/>
  <c r="Q14" i="21"/>
  <c r="Q13" i="21"/>
  <c r="Q12" i="21"/>
  <c r="Q11" i="21"/>
  <c r="Q10" i="21"/>
  <c r="Q9" i="21"/>
  <c r="Q8" i="21"/>
  <c r="Q7" i="21"/>
  <c r="Q6" i="21"/>
  <c r="Q5" i="21"/>
  <c r="Q3" i="21"/>
  <c r="R6" i="21" l="1"/>
  <c r="R10" i="21"/>
  <c r="R14" i="21"/>
  <c r="R18" i="21"/>
  <c r="R22" i="21"/>
  <c r="R26" i="21"/>
  <c r="R30" i="21"/>
  <c r="R15" i="21"/>
  <c r="R23" i="21"/>
  <c r="R31" i="21"/>
  <c r="R7" i="21"/>
  <c r="R8" i="21"/>
  <c r="R16" i="21"/>
  <c r="R24" i="21"/>
  <c r="R32" i="21"/>
  <c r="R9" i="21"/>
  <c r="R17" i="21"/>
  <c r="R25" i="21"/>
  <c r="R11" i="21"/>
  <c r="R19" i="21"/>
  <c r="R27" i="21"/>
  <c r="R12" i="21"/>
  <c r="R20" i="21"/>
  <c r="R28" i="21"/>
  <c r="R5" i="21"/>
  <c r="R13" i="21"/>
  <c r="R21" i="21"/>
  <c r="R29" i="21"/>
  <c r="V6" i="20"/>
  <c r="V7" i="20" s="1"/>
  <c r="V8" i="20" s="1"/>
  <c r="V9" i="20" s="1"/>
  <c r="V10" i="20" s="1"/>
  <c r="V12" i="20"/>
  <c r="V13" i="20" s="1"/>
  <c r="V14" i="20" s="1"/>
  <c r="V15" i="20" s="1"/>
  <c r="V16" i="20" s="1"/>
  <c r="V17" i="20" s="1"/>
  <c r="V19" i="20"/>
  <c r="V20" i="20" s="1"/>
  <c r="V21" i="20" s="1"/>
  <c r="V22" i="20" s="1"/>
  <c r="V24" i="20"/>
  <c r="V26" i="20"/>
  <c r="V27" i="20" s="1"/>
  <c r="V28" i="20" s="1"/>
  <c r="V30" i="20"/>
  <c r="V31" i="20" s="1"/>
  <c r="V33" i="20"/>
  <c r="V34" i="20" s="1"/>
  <c r="V35" i="20" s="1"/>
  <c r="V36" i="20" s="1"/>
  <c r="V38" i="20"/>
  <c r="V40" i="20"/>
  <c r="V42" i="20"/>
  <c r="V43" i="20" s="1"/>
  <c r="V44" i="20" s="1"/>
  <c r="V45" i="20" s="1"/>
  <c r="V46" i="20" s="1"/>
  <c r="V47" i="20" s="1"/>
  <c r="W48" i="20"/>
  <c r="V49" i="20"/>
  <c r="W49" i="20" s="1"/>
  <c r="K5" i="20"/>
  <c r="L5" i="20"/>
  <c r="I5" i="20" s="1"/>
  <c r="K6" i="20"/>
  <c r="L6" i="20"/>
  <c r="I6" i="20" s="1"/>
  <c r="K7" i="20"/>
  <c r="L7" i="20"/>
  <c r="I7" i="20" s="1"/>
  <c r="K8" i="20"/>
  <c r="L8" i="20"/>
  <c r="I8" i="20" s="1"/>
  <c r="K9" i="20"/>
  <c r="L9" i="20"/>
  <c r="I9" i="20" s="1"/>
  <c r="K10" i="20"/>
  <c r="L10" i="20"/>
  <c r="I10" i="20" s="1"/>
  <c r="K11" i="20"/>
  <c r="L11" i="20"/>
  <c r="I11" i="20" s="1"/>
  <c r="K12" i="20"/>
  <c r="L12" i="20"/>
  <c r="I12" i="20" s="1"/>
  <c r="K13" i="20"/>
  <c r="L13" i="20"/>
  <c r="I13" i="20" s="1"/>
  <c r="K14" i="20"/>
  <c r="L14" i="20"/>
  <c r="I14" i="20" s="1"/>
  <c r="K15" i="20"/>
  <c r="L15" i="20"/>
  <c r="I15" i="20" s="1"/>
  <c r="K16" i="20"/>
  <c r="L16" i="20"/>
  <c r="I16" i="20" s="1"/>
  <c r="K17" i="20"/>
  <c r="L17" i="20"/>
  <c r="I17" i="20" s="1"/>
  <c r="K18" i="20"/>
  <c r="L18" i="20"/>
  <c r="I18" i="20" s="1"/>
  <c r="K19" i="20"/>
  <c r="L19" i="20"/>
  <c r="I19" i="20" s="1"/>
  <c r="K20" i="20"/>
  <c r="L20" i="20"/>
  <c r="I20" i="20" s="1"/>
  <c r="K21" i="20"/>
  <c r="L21" i="20"/>
  <c r="I21" i="20" s="1"/>
  <c r="K22" i="20"/>
  <c r="L22" i="20"/>
  <c r="I22" i="20" s="1"/>
  <c r="K23" i="20"/>
  <c r="L23" i="20"/>
  <c r="I23" i="20" s="1"/>
  <c r="K24" i="20"/>
  <c r="L24" i="20"/>
  <c r="I24" i="20" s="1"/>
  <c r="K25" i="20"/>
  <c r="L25" i="20"/>
  <c r="I25" i="20" s="1"/>
  <c r="K26" i="20"/>
  <c r="L26" i="20"/>
  <c r="I26" i="20" s="1"/>
  <c r="K27" i="20"/>
  <c r="L27" i="20"/>
  <c r="I27" i="20" s="1"/>
  <c r="K28" i="20"/>
  <c r="L28" i="20"/>
  <c r="I28" i="20" s="1"/>
  <c r="K29" i="20"/>
  <c r="L29" i="20"/>
  <c r="I29" i="20" s="1"/>
  <c r="K30" i="20"/>
  <c r="L30" i="20"/>
  <c r="I30" i="20" s="1"/>
  <c r="K31" i="20"/>
  <c r="L31" i="20"/>
  <c r="I31" i="20" s="1"/>
  <c r="K32" i="20"/>
  <c r="L32" i="20"/>
  <c r="I32" i="20" s="1"/>
  <c r="K33" i="20"/>
  <c r="L33" i="20"/>
  <c r="I33" i="20" s="1"/>
  <c r="K34" i="20"/>
  <c r="L34" i="20"/>
  <c r="I34" i="20" s="1"/>
  <c r="K35" i="20"/>
  <c r="L35" i="20"/>
  <c r="I35" i="20" s="1"/>
  <c r="K36" i="20"/>
  <c r="L36" i="20"/>
  <c r="I36" i="20" s="1"/>
  <c r="K37" i="20"/>
  <c r="L37" i="20"/>
  <c r="I37" i="20" s="1"/>
  <c r="K38" i="20"/>
  <c r="L38" i="20"/>
  <c r="I38" i="20" s="1"/>
  <c r="K39" i="20"/>
  <c r="L39" i="20"/>
  <c r="I39" i="20" s="1"/>
  <c r="K40" i="20"/>
  <c r="L40" i="20"/>
  <c r="I40" i="20" s="1"/>
  <c r="K41" i="20"/>
  <c r="L41" i="20"/>
  <c r="I41" i="20" s="1"/>
  <c r="K42" i="20"/>
  <c r="L42" i="20"/>
  <c r="I42" i="20" s="1"/>
  <c r="K43" i="20"/>
  <c r="L43" i="20"/>
  <c r="I43" i="20" s="1"/>
  <c r="K44" i="20"/>
  <c r="L44" i="20"/>
  <c r="I44" i="20" s="1"/>
  <c r="A8" i="2"/>
  <c r="A18" i="2"/>
  <c r="D2" i="25"/>
  <c r="S3" i="21" l="1"/>
  <c r="U5" i="21" s="1"/>
  <c r="V50" i="20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7" i="21"/>
  <c r="G52" i="21" s="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5" i="21"/>
  <c r="P34" i="21" l="1"/>
  <c r="O65" i="21"/>
  <c r="M83" i="21" s="1"/>
  <c r="G105" i="21" s="1"/>
  <c r="G116" i="21" s="1"/>
  <c r="V51" i="20"/>
  <c r="W50" i="20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K23" i="21"/>
  <c r="K25" i="21"/>
  <c r="K24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I2" i="21"/>
  <c r="R2" i="21" s="1"/>
  <c r="A16" i="2" l="1"/>
  <c r="U26" i="21"/>
  <c r="U12" i="21"/>
  <c r="U23" i="21"/>
  <c r="U29" i="21"/>
  <c r="U6" i="21"/>
  <c r="U24" i="21"/>
  <c r="U18" i="21"/>
  <c r="U14" i="21"/>
  <c r="D4" i="25"/>
  <c r="A2" i="2" s="1"/>
  <c r="U15" i="21"/>
  <c r="U25" i="21"/>
  <c r="U17" i="21"/>
  <c r="U16" i="21"/>
  <c r="U10" i="21"/>
  <c r="U21" i="21"/>
  <c r="U13" i="21"/>
  <c r="U22" i="21"/>
  <c r="U11" i="21"/>
  <c r="U27" i="21"/>
  <c r="U28" i="21"/>
  <c r="U30" i="21"/>
  <c r="U19" i="21"/>
  <c r="U9" i="21"/>
  <c r="U8" i="21"/>
  <c r="U7" i="21"/>
  <c r="U20" i="21"/>
  <c r="K45" i="21"/>
  <c r="AB31" i="21"/>
  <c r="K46" i="21"/>
  <c r="AB32" i="21"/>
  <c r="K44" i="21"/>
  <c r="AB30" i="21"/>
  <c r="K30" i="21"/>
  <c r="AB16" i="21"/>
  <c r="K39" i="21"/>
  <c r="AB25" i="21"/>
  <c r="K47" i="21"/>
  <c r="AB33" i="21"/>
  <c r="K32" i="21"/>
  <c r="AB18" i="21"/>
  <c r="K48" i="21"/>
  <c r="AB34" i="21"/>
  <c r="K38" i="21"/>
  <c r="AB24" i="21"/>
  <c r="K40" i="21"/>
  <c r="AB26" i="21"/>
  <c r="K41" i="21"/>
  <c r="AB27" i="21"/>
  <c r="K49" i="21"/>
  <c r="AB35" i="21"/>
  <c r="K31" i="21"/>
  <c r="AB17" i="21"/>
  <c r="K33" i="21"/>
  <c r="AB19" i="21"/>
  <c r="K34" i="21"/>
  <c r="AB20" i="21"/>
  <c r="K42" i="21"/>
  <c r="AB28" i="21"/>
  <c r="K50" i="21"/>
  <c r="AB36" i="21"/>
  <c r="K43" i="21"/>
  <c r="AB29" i="21"/>
  <c r="K37" i="21"/>
  <c r="AB23" i="21"/>
  <c r="K36" i="21"/>
  <c r="AB22" i="21"/>
  <c r="K35" i="21"/>
  <c r="AB21" i="21"/>
  <c r="V52" i="20"/>
  <c r="W51" i="20"/>
  <c r="V3" i="21" l="1"/>
  <c r="D6" i="25" s="1"/>
  <c r="AD28" i="21"/>
  <c r="AL17" i="21" s="1"/>
  <c r="AJ42" i="21" s="1"/>
  <c r="AS42" i="21" s="1"/>
  <c r="AK17" i="21"/>
  <c r="AC28" i="21"/>
  <c r="AI17" i="21" s="1"/>
  <c r="AK42" i="21" s="1"/>
  <c r="AR42" i="21" s="1"/>
  <c r="AD35" i="21"/>
  <c r="AL24" i="21" s="1"/>
  <c r="AJ49" i="21" s="1"/>
  <c r="AS49" i="21" s="1"/>
  <c r="AK24" i="21"/>
  <c r="AC35" i="21"/>
  <c r="AI24" i="21" s="1"/>
  <c r="AK49" i="21" s="1"/>
  <c r="AR49" i="21" s="1"/>
  <c r="AD34" i="21"/>
  <c r="AL23" i="21" s="1"/>
  <c r="AJ48" i="21" s="1"/>
  <c r="AS48" i="21" s="1"/>
  <c r="AC34" i="21"/>
  <c r="AI23" i="21" s="1"/>
  <c r="AK48" i="21" s="1"/>
  <c r="AR48" i="21" s="1"/>
  <c r="AK23" i="21"/>
  <c r="AD16" i="21"/>
  <c r="AL5" i="21" s="1"/>
  <c r="AJ30" i="21" s="1"/>
  <c r="AS30" i="21" s="1"/>
  <c r="AK5" i="21"/>
  <c r="AL30" i="21" s="1"/>
  <c r="AQ30" i="21" s="1"/>
  <c r="AC16" i="21"/>
  <c r="AI5" i="21" s="1"/>
  <c r="AK30" i="21" s="1"/>
  <c r="AR30" i="21" s="1"/>
  <c r="AD18" i="21"/>
  <c r="AL7" i="21" s="1"/>
  <c r="AJ32" i="21" s="1"/>
  <c r="AS32" i="21" s="1"/>
  <c r="AK7" i="21"/>
  <c r="AC18" i="21"/>
  <c r="AI7" i="21" s="1"/>
  <c r="AK32" i="21" s="1"/>
  <c r="AR32" i="21" s="1"/>
  <c r="AK19" i="21"/>
  <c r="AC30" i="21"/>
  <c r="AI19" i="21" s="1"/>
  <c r="AK44" i="21" s="1"/>
  <c r="AR44" i="21" s="1"/>
  <c r="AD30" i="21"/>
  <c r="AL19" i="21" s="1"/>
  <c r="AJ44" i="21" s="1"/>
  <c r="AS44" i="21" s="1"/>
  <c r="AC20" i="21"/>
  <c r="AI9" i="21" s="1"/>
  <c r="AK34" i="21" s="1"/>
  <c r="AR34" i="21" s="1"/>
  <c r="AK9" i="21"/>
  <c r="AD20" i="21"/>
  <c r="AL9" i="21" s="1"/>
  <c r="AJ34" i="21" s="1"/>
  <c r="AS34" i="21" s="1"/>
  <c r="AD29" i="21"/>
  <c r="AL18" i="21" s="1"/>
  <c r="AJ43" i="21" s="1"/>
  <c r="AS43" i="21" s="1"/>
  <c r="AK18" i="21"/>
  <c r="AC29" i="21"/>
  <c r="AI18" i="21" s="1"/>
  <c r="AK43" i="21" s="1"/>
  <c r="AR43" i="21" s="1"/>
  <c r="AK8" i="21"/>
  <c r="AC19" i="21"/>
  <c r="AI8" i="21" s="1"/>
  <c r="AK33" i="21" s="1"/>
  <c r="AR33" i="21" s="1"/>
  <c r="AD19" i="21"/>
  <c r="AL8" i="21" s="1"/>
  <c r="AJ33" i="21" s="1"/>
  <c r="AS33" i="21" s="1"/>
  <c r="AC26" i="21"/>
  <c r="AI15" i="21" s="1"/>
  <c r="AK40" i="21" s="1"/>
  <c r="AR40" i="21" s="1"/>
  <c r="AD26" i="21"/>
  <c r="AL15" i="21" s="1"/>
  <c r="AJ40" i="21" s="1"/>
  <c r="AS40" i="21" s="1"/>
  <c r="AK15" i="21"/>
  <c r="AK22" i="21"/>
  <c r="AD33" i="21"/>
  <c r="AL22" i="21" s="1"/>
  <c r="AJ47" i="21" s="1"/>
  <c r="AS47" i="21" s="1"/>
  <c r="AC33" i="21"/>
  <c r="AI22" i="21" s="1"/>
  <c r="AK47" i="21" s="1"/>
  <c r="AR47" i="21" s="1"/>
  <c r="AK21" i="21"/>
  <c r="AD32" i="21"/>
  <c r="AL21" i="21" s="1"/>
  <c r="AJ46" i="21" s="1"/>
  <c r="AS46" i="21" s="1"/>
  <c r="AC32" i="21"/>
  <c r="AI21" i="21" s="1"/>
  <c r="AK46" i="21" s="1"/>
  <c r="AR46" i="21" s="1"/>
  <c r="AD27" i="21"/>
  <c r="AL16" i="21" s="1"/>
  <c r="AJ41" i="21" s="1"/>
  <c r="AS41" i="21" s="1"/>
  <c r="AK16" i="21"/>
  <c r="AC27" i="21"/>
  <c r="AI16" i="21" s="1"/>
  <c r="AK41" i="21" s="1"/>
  <c r="AR41" i="21" s="1"/>
  <c r="AD36" i="21"/>
  <c r="AL25" i="21" s="1"/>
  <c r="AJ50" i="21" s="1"/>
  <c r="AS50" i="21" s="1"/>
  <c r="AK25" i="21"/>
  <c r="AC36" i="21"/>
  <c r="AI25" i="21" s="1"/>
  <c r="AK50" i="21" s="1"/>
  <c r="AR50" i="21" s="1"/>
  <c r="AD17" i="21"/>
  <c r="AL6" i="21" s="1"/>
  <c r="AJ31" i="21" s="1"/>
  <c r="AS31" i="21" s="1"/>
  <c r="AK6" i="21"/>
  <c r="AL31" i="21" s="1"/>
  <c r="AQ31" i="21" s="1"/>
  <c r="AC17" i="21"/>
  <c r="AI6" i="21" s="1"/>
  <c r="AK31" i="21" s="1"/>
  <c r="AR31" i="21" s="1"/>
  <c r="AD24" i="21"/>
  <c r="AL13" i="21" s="1"/>
  <c r="AJ38" i="21" s="1"/>
  <c r="AS38" i="21" s="1"/>
  <c r="AK13" i="21"/>
  <c r="AC24" i="21"/>
  <c r="AI13" i="21" s="1"/>
  <c r="AK38" i="21" s="1"/>
  <c r="AR38" i="21" s="1"/>
  <c r="AK14" i="21"/>
  <c r="AC25" i="21"/>
  <c r="AI14" i="21" s="1"/>
  <c r="AK39" i="21" s="1"/>
  <c r="AR39" i="21" s="1"/>
  <c r="AD25" i="21"/>
  <c r="AL14" i="21" s="1"/>
  <c r="AJ39" i="21" s="1"/>
  <c r="AS39" i="21" s="1"/>
  <c r="AC31" i="21"/>
  <c r="AI20" i="21" s="1"/>
  <c r="AK45" i="21" s="1"/>
  <c r="AR45" i="21" s="1"/>
  <c r="AD31" i="21"/>
  <c r="AL20" i="21" s="1"/>
  <c r="AJ45" i="21" s="1"/>
  <c r="AS45" i="21" s="1"/>
  <c r="AK20" i="21"/>
  <c r="AC23" i="21"/>
  <c r="AI12" i="21" s="1"/>
  <c r="AK37" i="21" s="1"/>
  <c r="AR37" i="21" s="1"/>
  <c r="AD23" i="21"/>
  <c r="AL12" i="21" s="1"/>
  <c r="AJ37" i="21" s="1"/>
  <c r="AS37" i="21" s="1"/>
  <c r="AK12" i="21"/>
  <c r="AD22" i="21"/>
  <c r="AL11" i="21" s="1"/>
  <c r="AJ36" i="21" s="1"/>
  <c r="AS36" i="21" s="1"/>
  <c r="AK11" i="21"/>
  <c r="AC22" i="21"/>
  <c r="AI11" i="21" s="1"/>
  <c r="AK36" i="21" s="1"/>
  <c r="AR36" i="21" s="1"/>
  <c r="AD21" i="21"/>
  <c r="AL10" i="21" s="1"/>
  <c r="AJ35" i="21" s="1"/>
  <c r="AS35" i="21" s="1"/>
  <c r="AC21" i="21"/>
  <c r="AI10" i="21" s="1"/>
  <c r="AK35" i="21" s="1"/>
  <c r="AR35" i="21" s="1"/>
  <c r="AK10" i="21"/>
  <c r="W52" i="20"/>
  <c r="V53" i="20"/>
  <c r="D10" i="20"/>
  <c r="D9" i="20"/>
  <c r="C9" i="20" s="1"/>
  <c r="D8" i="20"/>
  <c r="D7" i="20"/>
  <c r="C7" i="20" s="1"/>
  <c r="B7" i="20" s="1"/>
  <c r="B6" i="21" s="1"/>
  <c r="B71" i="21" s="1"/>
  <c r="D6" i="20"/>
  <c r="D5" i="20"/>
  <c r="C5" i="20" s="1"/>
  <c r="D4" i="20"/>
  <c r="D3" i="20"/>
  <c r="C3" i="20" s="1"/>
  <c r="B3" i="20" s="1"/>
  <c r="D41" i="20"/>
  <c r="D40" i="20"/>
  <c r="D39" i="20"/>
  <c r="C39" i="20" s="1"/>
  <c r="B39" i="20" s="1"/>
  <c r="B14" i="21" s="1"/>
  <c r="B79" i="21" s="1"/>
  <c r="D38" i="20"/>
  <c r="D37" i="20"/>
  <c r="C37" i="20" s="1"/>
  <c r="D36" i="20"/>
  <c r="D35" i="20"/>
  <c r="C35" i="20" s="1"/>
  <c r="B35" i="20" s="1"/>
  <c r="D34" i="20"/>
  <c r="D33" i="20"/>
  <c r="C33" i="20" s="1"/>
  <c r="D32" i="20"/>
  <c r="D31" i="20"/>
  <c r="C31" i="20" s="1"/>
  <c r="B31" i="20" s="1"/>
  <c r="B12" i="21" s="1"/>
  <c r="B77" i="21" s="1"/>
  <c r="D30" i="20"/>
  <c r="D29" i="20"/>
  <c r="C29" i="20" s="1"/>
  <c r="D28" i="20"/>
  <c r="D27" i="20"/>
  <c r="C27" i="20" s="1"/>
  <c r="B27" i="20" s="1"/>
  <c r="D26" i="20"/>
  <c r="D25" i="20"/>
  <c r="C25" i="20" s="1"/>
  <c r="D24" i="20"/>
  <c r="D23" i="20"/>
  <c r="C23" i="20" s="1"/>
  <c r="B23" i="20" s="1"/>
  <c r="B10" i="21" s="1"/>
  <c r="B75" i="21" s="1"/>
  <c r="D22" i="20"/>
  <c r="D21" i="20"/>
  <c r="C21" i="20" s="1"/>
  <c r="D20" i="20"/>
  <c r="D19" i="20"/>
  <c r="C19" i="20" s="1"/>
  <c r="B19" i="20" s="1"/>
  <c r="D18" i="20"/>
  <c r="D17" i="20"/>
  <c r="C17" i="20" s="1"/>
  <c r="D16" i="20"/>
  <c r="D15" i="20"/>
  <c r="C15" i="20" s="1"/>
  <c r="B15" i="20" s="1"/>
  <c r="B8" i="21" s="1"/>
  <c r="B73" i="21" s="1"/>
  <c r="D14" i="20"/>
  <c r="D13" i="20"/>
  <c r="C13" i="20" s="1"/>
  <c r="D12" i="20"/>
  <c r="D11" i="20"/>
  <c r="C11" i="20" s="1"/>
  <c r="B11" i="20" s="1"/>
  <c r="D42" i="20"/>
  <c r="C41" i="20"/>
  <c r="B136" i="21" l="1"/>
  <c r="B631" i="21"/>
  <c r="B140" i="21"/>
  <c r="B635" i="21"/>
  <c r="B138" i="21"/>
  <c r="B633" i="21"/>
  <c r="B142" i="21"/>
  <c r="B637" i="21"/>
  <c r="B144" i="21"/>
  <c r="B639" i="21"/>
  <c r="A14" i="2"/>
  <c r="AM19" i="21"/>
  <c r="AL44" i="21"/>
  <c r="AQ44" i="21" s="1"/>
  <c r="AT44" i="21" s="1"/>
  <c r="AM10" i="21"/>
  <c r="AL35" i="21"/>
  <c r="AQ35" i="21" s="1"/>
  <c r="AT35" i="21" s="1"/>
  <c r="AM13" i="21"/>
  <c r="AL38" i="21"/>
  <c r="AQ38" i="21" s="1"/>
  <c r="AT38" i="21" s="1"/>
  <c r="AM22" i="21"/>
  <c r="AL47" i="21"/>
  <c r="AQ47" i="21" s="1"/>
  <c r="AT47" i="21" s="1"/>
  <c r="AM18" i="21"/>
  <c r="AL43" i="21"/>
  <c r="AQ43" i="21" s="1"/>
  <c r="AT43" i="21" s="1"/>
  <c r="AM20" i="21"/>
  <c r="AL45" i="21"/>
  <c r="AQ45" i="21" s="1"/>
  <c r="AT45" i="21" s="1"/>
  <c r="AM16" i="21"/>
  <c r="AL41" i="21"/>
  <c r="AQ41" i="21" s="1"/>
  <c r="AT41" i="21" s="1"/>
  <c r="AM15" i="21"/>
  <c r="AL40" i="21"/>
  <c r="AQ40" i="21" s="1"/>
  <c r="AT40" i="21" s="1"/>
  <c r="AM7" i="21"/>
  <c r="AL32" i="21"/>
  <c r="AQ32" i="21" s="1"/>
  <c r="AT32" i="21" s="1"/>
  <c r="AM24" i="21"/>
  <c r="AL49" i="21"/>
  <c r="AQ49" i="21" s="1"/>
  <c r="AT49" i="21" s="1"/>
  <c r="AM9" i="21"/>
  <c r="AL34" i="21"/>
  <c r="AQ34" i="21" s="1"/>
  <c r="AT34" i="21" s="1"/>
  <c r="AM21" i="21"/>
  <c r="AL46" i="21"/>
  <c r="AQ46" i="21" s="1"/>
  <c r="AT46" i="21" s="1"/>
  <c r="AM17" i="21"/>
  <c r="AL42" i="21"/>
  <c r="AQ42" i="21" s="1"/>
  <c r="AT42" i="21" s="1"/>
  <c r="AM11" i="21"/>
  <c r="AL36" i="21"/>
  <c r="AQ36" i="21" s="1"/>
  <c r="AT36" i="21" s="1"/>
  <c r="AM12" i="21"/>
  <c r="AL37" i="21"/>
  <c r="AQ37" i="21" s="1"/>
  <c r="AT37" i="21" s="1"/>
  <c r="AM14" i="21"/>
  <c r="AL39" i="21"/>
  <c r="AQ39" i="21" s="1"/>
  <c r="AT39" i="21" s="1"/>
  <c r="AM25" i="21"/>
  <c r="AL50" i="21"/>
  <c r="AQ50" i="21" s="1"/>
  <c r="AT50" i="21" s="1"/>
  <c r="AM8" i="21"/>
  <c r="AL33" i="21"/>
  <c r="AQ33" i="21" s="1"/>
  <c r="AT33" i="21" s="1"/>
  <c r="AM23" i="21"/>
  <c r="AL48" i="21"/>
  <c r="AQ48" i="21" s="1"/>
  <c r="AT48" i="21" s="1"/>
  <c r="W53" i="20"/>
  <c r="V54" i="20"/>
  <c r="A27" i="20"/>
  <c r="B11" i="21"/>
  <c r="B76" i="21" s="1"/>
  <c r="A3" i="20"/>
  <c r="B5" i="21"/>
  <c r="B70" i="21" s="1"/>
  <c r="A11" i="20"/>
  <c r="B7" i="21"/>
  <c r="B72" i="21" s="1"/>
  <c r="A19" i="20"/>
  <c r="B9" i="21"/>
  <c r="B74" i="21" s="1"/>
  <c r="A35" i="20"/>
  <c r="B13" i="21"/>
  <c r="B78" i="21" s="1"/>
  <c r="D122" i="20"/>
  <c r="D162" i="20" s="1"/>
  <c r="D202" i="20" s="1"/>
  <c r="D121" i="20"/>
  <c r="C121" i="20" s="1"/>
  <c r="D120" i="20"/>
  <c r="D160" i="20" s="1"/>
  <c r="D200" i="20" s="1"/>
  <c r="D119" i="20"/>
  <c r="D159" i="20" s="1"/>
  <c r="D118" i="20"/>
  <c r="D158" i="20" s="1"/>
  <c r="D198" i="20" s="1"/>
  <c r="D117" i="20"/>
  <c r="D157" i="20" s="1"/>
  <c r="D116" i="20"/>
  <c r="D156" i="20" s="1"/>
  <c r="D196" i="20" s="1"/>
  <c r="D115" i="20"/>
  <c r="C115" i="20" s="1"/>
  <c r="B115" i="20" s="1"/>
  <c r="A115" i="20" s="1"/>
  <c r="D114" i="20"/>
  <c r="D154" i="20" s="1"/>
  <c r="D194" i="20" s="1"/>
  <c r="D113" i="20"/>
  <c r="C113" i="20" s="1"/>
  <c r="D112" i="20"/>
  <c r="D152" i="20" s="1"/>
  <c r="D192" i="20" s="1"/>
  <c r="D111" i="20"/>
  <c r="D151" i="20" s="1"/>
  <c r="D110" i="20"/>
  <c r="D150" i="20" s="1"/>
  <c r="D190" i="20" s="1"/>
  <c r="D109" i="20"/>
  <c r="C109" i="20" s="1"/>
  <c r="D108" i="20"/>
  <c r="D148" i="20" s="1"/>
  <c r="D188" i="20" s="1"/>
  <c r="D107" i="20"/>
  <c r="D147" i="20" s="1"/>
  <c r="D106" i="20"/>
  <c r="D146" i="20" s="1"/>
  <c r="D186" i="20" s="1"/>
  <c r="D105" i="20"/>
  <c r="C105" i="20" s="1"/>
  <c r="D104" i="20"/>
  <c r="D144" i="20" s="1"/>
  <c r="D184" i="20" s="1"/>
  <c r="D103" i="20"/>
  <c r="C103" i="20" s="1"/>
  <c r="B103" i="20" s="1"/>
  <c r="D102" i="20"/>
  <c r="D142" i="20" s="1"/>
  <c r="D182" i="20" s="1"/>
  <c r="D101" i="20"/>
  <c r="D141" i="20" s="1"/>
  <c r="D100" i="20"/>
  <c r="D140" i="20" s="1"/>
  <c r="D180" i="20" s="1"/>
  <c r="D99" i="20"/>
  <c r="D139" i="20" s="1"/>
  <c r="D98" i="20"/>
  <c r="D138" i="20" s="1"/>
  <c r="D178" i="20" s="1"/>
  <c r="D97" i="20"/>
  <c r="C97" i="20" s="1"/>
  <c r="D96" i="20"/>
  <c r="D136" i="20" s="1"/>
  <c r="D176" i="20" s="1"/>
  <c r="D95" i="20"/>
  <c r="D135" i="20" s="1"/>
  <c r="C135" i="20" s="1"/>
  <c r="B135" i="20" s="1"/>
  <c r="D94" i="20"/>
  <c r="D134" i="20" s="1"/>
  <c r="D174" i="20" s="1"/>
  <c r="D93" i="20"/>
  <c r="C93" i="20" s="1"/>
  <c r="D92" i="20"/>
  <c r="D132" i="20" s="1"/>
  <c r="D172" i="20" s="1"/>
  <c r="D91" i="20"/>
  <c r="D131" i="20" s="1"/>
  <c r="C131" i="20" s="1"/>
  <c r="B131" i="20" s="1"/>
  <c r="A131" i="20" s="1"/>
  <c r="D90" i="20"/>
  <c r="D130" i="20" s="1"/>
  <c r="D170" i="20" s="1"/>
  <c r="D210" i="20" s="1"/>
  <c r="D250" i="20" s="1"/>
  <c r="D290" i="20" s="1"/>
  <c r="C290" i="20" s="1"/>
  <c r="D89" i="20"/>
  <c r="C89" i="20" s="1"/>
  <c r="D88" i="20"/>
  <c r="D128" i="20" s="1"/>
  <c r="D168" i="20" s="1"/>
  <c r="D87" i="20"/>
  <c r="D127" i="20" s="1"/>
  <c r="C127" i="20" s="1"/>
  <c r="B127" i="20" s="1"/>
  <c r="D86" i="20"/>
  <c r="D126" i="20" s="1"/>
  <c r="D166" i="20" s="1"/>
  <c r="D85" i="20"/>
  <c r="D125" i="20" s="1"/>
  <c r="C125" i="20" s="1"/>
  <c r="D84" i="20"/>
  <c r="D124" i="20" s="1"/>
  <c r="D164" i="20" s="1"/>
  <c r="D83" i="20"/>
  <c r="D123" i="20" s="1"/>
  <c r="C81" i="20"/>
  <c r="C79" i="20"/>
  <c r="B79" i="20" s="1"/>
  <c r="B24" i="21" s="1"/>
  <c r="C77" i="20"/>
  <c r="C75" i="20"/>
  <c r="B75" i="20" s="1"/>
  <c r="C73" i="20"/>
  <c r="C71" i="20"/>
  <c r="B71" i="20" s="1"/>
  <c r="B22" i="21" s="1"/>
  <c r="C69" i="20"/>
  <c r="C67" i="20"/>
  <c r="B67" i="20" s="1"/>
  <c r="C65" i="20"/>
  <c r="C63" i="20"/>
  <c r="B63" i="20" s="1"/>
  <c r="B20" i="21" s="1"/>
  <c r="C61" i="20"/>
  <c r="C59" i="20"/>
  <c r="B59" i="20" s="1"/>
  <c r="C57" i="20"/>
  <c r="C55" i="20"/>
  <c r="B55" i="20" s="1"/>
  <c r="B18" i="21" s="1"/>
  <c r="C53" i="20"/>
  <c r="C51" i="20"/>
  <c r="B51" i="20" s="1"/>
  <c r="C49" i="20"/>
  <c r="C47" i="20"/>
  <c r="B47" i="20" s="1"/>
  <c r="B16" i="21" s="1"/>
  <c r="B81" i="21" s="1"/>
  <c r="C45" i="20"/>
  <c r="C43" i="20"/>
  <c r="B43" i="20" s="1"/>
  <c r="B146" i="21" l="1"/>
  <c r="B641" i="21"/>
  <c r="B137" i="21"/>
  <c r="B632" i="21"/>
  <c r="B135" i="21"/>
  <c r="B630" i="21"/>
  <c r="B143" i="21"/>
  <c r="B638" i="21"/>
  <c r="B141" i="21"/>
  <c r="B636" i="21"/>
  <c r="B139" i="21"/>
  <c r="B634" i="21"/>
  <c r="B34" i="21"/>
  <c r="B89" i="21"/>
  <c r="B30" i="21"/>
  <c r="B85" i="21"/>
  <c r="B28" i="21"/>
  <c r="B83" i="21"/>
  <c r="B32" i="21"/>
  <c r="B87" i="21"/>
  <c r="V55" i="20"/>
  <c r="W54" i="20"/>
  <c r="C99" i="20"/>
  <c r="B99" i="20" s="1"/>
  <c r="A99" i="20" s="1"/>
  <c r="A51" i="20"/>
  <c r="B17" i="21"/>
  <c r="A67" i="20"/>
  <c r="B21" i="21"/>
  <c r="C91" i="20"/>
  <c r="B91" i="20" s="1"/>
  <c r="A91" i="20" s="1"/>
  <c r="C107" i="20"/>
  <c r="B107" i="20" s="1"/>
  <c r="A107" i="20" s="1"/>
  <c r="D155" i="20"/>
  <c r="D195" i="20" s="1"/>
  <c r="C195" i="20" s="1"/>
  <c r="B195" i="20" s="1"/>
  <c r="A195" i="20" s="1"/>
  <c r="A59" i="20"/>
  <c r="B19" i="21"/>
  <c r="A43" i="20"/>
  <c r="B15" i="21"/>
  <c r="B80" i="21" s="1"/>
  <c r="A75" i="20"/>
  <c r="B23" i="21"/>
  <c r="D143" i="20"/>
  <c r="D183" i="20" s="1"/>
  <c r="C119" i="20"/>
  <c r="B119" i="20" s="1"/>
  <c r="C87" i="20"/>
  <c r="B87" i="20" s="1"/>
  <c r="B26" i="21" s="1"/>
  <c r="D129" i="20"/>
  <c r="C190" i="20"/>
  <c r="D230" i="20"/>
  <c r="D163" i="20"/>
  <c r="C123" i="20"/>
  <c r="B123" i="20" s="1"/>
  <c r="A123" i="20" s="1"/>
  <c r="C200" i="20"/>
  <c r="D240" i="20"/>
  <c r="D216" i="20"/>
  <c r="C176" i="20"/>
  <c r="D204" i="20"/>
  <c r="C164" i="20"/>
  <c r="D218" i="20"/>
  <c r="C178" i="20"/>
  <c r="C159" i="20"/>
  <c r="B159" i="20" s="1"/>
  <c r="D199" i="20"/>
  <c r="D212" i="20"/>
  <c r="C172" i="20"/>
  <c r="D208" i="20"/>
  <c r="C168" i="20"/>
  <c r="D224" i="20"/>
  <c r="C184" i="20"/>
  <c r="D206" i="20"/>
  <c r="C166" i="20"/>
  <c r="D179" i="20"/>
  <c r="C139" i="20"/>
  <c r="B139" i="20" s="1"/>
  <c r="A139" i="20" s="1"/>
  <c r="C194" i="20"/>
  <c r="D234" i="20"/>
  <c r="D214" i="20"/>
  <c r="C174" i="20"/>
  <c r="C192" i="20"/>
  <c r="D232" i="20"/>
  <c r="D226" i="20"/>
  <c r="C186" i="20"/>
  <c r="C141" i="20"/>
  <c r="D181" i="20"/>
  <c r="C147" i="20"/>
  <c r="B147" i="20" s="1"/>
  <c r="A147" i="20" s="1"/>
  <c r="D187" i="20"/>
  <c r="C202" i="20"/>
  <c r="D242" i="20"/>
  <c r="D149" i="20"/>
  <c r="D161" i="20"/>
  <c r="D165" i="20"/>
  <c r="C170" i="20"/>
  <c r="D133" i="20"/>
  <c r="C182" i="20"/>
  <c r="D222" i="20"/>
  <c r="C188" i="20"/>
  <c r="D228" i="20"/>
  <c r="C250" i="20"/>
  <c r="D171" i="20"/>
  <c r="D145" i="20"/>
  <c r="C83" i="20"/>
  <c r="B83" i="20" s="1"/>
  <c r="C157" i="20"/>
  <c r="D197" i="20"/>
  <c r="D167" i="20"/>
  <c r="D175" i="20"/>
  <c r="C196" i="20"/>
  <c r="D236" i="20"/>
  <c r="C198" i="20"/>
  <c r="D238" i="20"/>
  <c r="C151" i="20"/>
  <c r="B151" i="20" s="1"/>
  <c r="D191" i="20"/>
  <c r="C180" i="20"/>
  <c r="D220" i="20"/>
  <c r="C210" i="20"/>
  <c r="C95" i="20"/>
  <c r="B95" i="20" s="1"/>
  <c r="C111" i="20"/>
  <c r="B111" i="20" s="1"/>
  <c r="D137" i="20"/>
  <c r="D153" i="20"/>
  <c r="C85" i="20"/>
  <c r="C101" i="20"/>
  <c r="C117" i="20"/>
  <c r="F22" i="7"/>
  <c r="B154" i="21" l="1"/>
  <c r="B649" i="21"/>
  <c r="B150" i="21"/>
  <c r="B645" i="21"/>
  <c r="B152" i="21"/>
  <c r="B647" i="21"/>
  <c r="B145" i="21"/>
  <c r="B640" i="21"/>
  <c r="B148" i="21"/>
  <c r="B643" i="21"/>
  <c r="B42" i="21"/>
  <c r="B97" i="21"/>
  <c r="B33" i="21"/>
  <c r="B88" i="21"/>
  <c r="B27" i="21"/>
  <c r="B82" i="21"/>
  <c r="B31" i="21"/>
  <c r="B86" i="21"/>
  <c r="B38" i="21"/>
  <c r="B93" i="21"/>
  <c r="B29" i="21"/>
  <c r="B84" i="21"/>
  <c r="B40" i="21"/>
  <c r="B95" i="21"/>
  <c r="B36" i="21"/>
  <c r="B91" i="21"/>
  <c r="B44" i="21"/>
  <c r="B99" i="21"/>
  <c r="V56" i="20"/>
  <c r="W55" i="20"/>
  <c r="C155" i="20"/>
  <c r="B155" i="20" s="1"/>
  <c r="A155" i="20" s="1"/>
  <c r="D235" i="20"/>
  <c r="C143" i="20"/>
  <c r="B143" i="20" s="1"/>
  <c r="A83" i="20"/>
  <c r="B25" i="21"/>
  <c r="C129" i="20"/>
  <c r="D169" i="20"/>
  <c r="D262" i="20"/>
  <c r="C222" i="20"/>
  <c r="C179" i="20"/>
  <c r="B179" i="20" s="1"/>
  <c r="A179" i="20" s="1"/>
  <c r="D219" i="20"/>
  <c r="D252" i="20"/>
  <c r="C212" i="20"/>
  <c r="C216" i="20"/>
  <c r="D256" i="20"/>
  <c r="D275" i="20"/>
  <c r="C235" i="20"/>
  <c r="B235" i="20" s="1"/>
  <c r="A235" i="20" s="1"/>
  <c r="D276" i="20"/>
  <c r="C236" i="20"/>
  <c r="C187" i="20"/>
  <c r="B187" i="20" s="1"/>
  <c r="A187" i="20" s="1"/>
  <c r="D227" i="20"/>
  <c r="D272" i="20"/>
  <c r="C232" i="20"/>
  <c r="D239" i="20"/>
  <c r="C199" i="20"/>
  <c r="B199" i="20" s="1"/>
  <c r="D280" i="20"/>
  <c r="C240" i="20"/>
  <c r="C133" i="20"/>
  <c r="D173" i="20"/>
  <c r="C206" i="20"/>
  <c r="D246" i="20"/>
  <c r="D278" i="20"/>
  <c r="C238" i="20"/>
  <c r="D266" i="20"/>
  <c r="C226" i="20"/>
  <c r="C145" i="20"/>
  <c r="D185" i="20"/>
  <c r="D260" i="20"/>
  <c r="C220" i="20"/>
  <c r="C153" i="20"/>
  <c r="D193" i="20"/>
  <c r="C183" i="20"/>
  <c r="B183" i="20" s="1"/>
  <c r="D223" i="20"/>
  <c r="D221" i="20"/>
  <c r="C181" i="20"/>
  <c r="C242" i="20"/>
  <c r="D282" i="20"/>
  <c r="D211" i="20"/>
  <c r="C171" i="20"/>
  <c r="B171" i="20" s="1"/>
  <c r="A171" i="20" s="1"/>
  <c r="D215" i="20"/>
  <c r="C175" i="20"/>
  <c r="B175" i="20" s="1"/>
  <c r="C137" i="20"/>
  <c r="D177" i="20"/>
  <c r="D231" i="20"/>
  <c r="C191" i="20"/>
  <c r="B191" i="20" s="1"/>
  <c r="D207" i="20"/>
  <c r="C167" i="20"/>
  <c r="B167" i="20" s="1"/>
  <c r="D205" i="20"/>
  <c r="C165" i="20"/>
  <c r="D254" i="20"/>
  <c r="C214" i="20"/>
  <c r="C224" i="20"/>
  <c r="D264" i="20"/>
  <c r="D258" i="20"/>
  <c r="C218" i="20"/>
  <c r="C163" i="20"/>
  <c r="B163" i="20" s="1"/>
  <c r="A163" i="20" s="1"/>
  <c r="D203" i="20"/>
  <c r="C197" i="20"/>
  <c r="D237" i="20"/>
  <c r="C161" i="20"/>
  <c r="D201" i="20"/>
  <c r="D274" i="20"/>
  <c r="C234" i="20"/>
  <c r="D270" i="20"/>
  <c r="C230" i="20"/>
  <c r="C228" i="20"/>
  <c r="D268" i="20"/>
  <c r="C149" i="20"/>
  <c r="D189" i="20"/>
  <c r="D248" i="20"/>
  <c r="C208" i="20"/>
  <c r="D244" i="20"/>
  <c r="C204" i="20"/>
  <c r="B147" i="21" l="1"/>
  <c r="B642" i="21"/>
  <c r="B149" i="21"/>
  <c r="B644" i="21"/>
  <c r="B153" i="21"/>
  <c r="B648" i="21"/>
  <c r="B160" i="21"/>
  <c r="B655" i="21"/>
  <c r="B164" i="21"/>
  <c r="B659" i="21"/>
  <c r="B156" i="21"/>
  <c r="B651" i="21"/>
  <c r="B151" i="21"/>
  <c r="B646" i="21"/>
  <c r="B158" i="21"/>
  <c r="B653" i="21"/>
  <c r="B162" i="21"/>
  <c r="B657" i="21"/>
  <c r="B46" i="21"/>
  <c r="B101" i="21"/>
  <c r="B50" i="21"/>
  <c r="B105" i="21"/>
  <c r="B37" i="21"/>
  <c r="B92" i="21"/>
  <c r="B41" i="21"/>
  <c r="B96" i="21"/>
  <c r="B39" i="21"/>
  <c r="B94" i="21"/>
  <c r="B43" i="21"/>
  <c r="B98" i="21"/>
  <c r="B35" i="21"/>
  <c r="B90" i="21"/>
  <c r="B54" i="21"/>
  <c r="B109" i="21"/>
  <c r="B48" i="21"/>
  <c r="B103" i="21"/>
  <c r="B52" i="21"/>
  <c r="B107" i="21"/>
  <c r="W56" i="20"/>
  <c r="V57" i="20"/>
  <c r="D209" i="20"/>
  <c r="C169" i="20"/>
  <c r="C272" i="20"/>
  <c r="D312" i="20"/>
  <c r="C312" i="20" s="1"/>
  <c r="D277" i="20"/>
  <c r="C237" i="20"/>
  <c r="D267" i="20"/>
  <c r="C227" i="20"/>
  <c r="B227" i="20" s="1"/>
  <c r="A227" i="20" s="1"/>
  <c r="D294" i="20"/>
  <c r="C294" i="20" s="1"/>
  <c r="C254" i="20"/>
  <c r="D263" i="20"/>
  <c r="C223" i="20"/>
  <c r="B223" i="20" s="1"/>
  <c r="D284" i="20"/>
  <c r="C284" i="20" s="1"/>
  <c r="C244" i="20"/>
  <c r="D245" i="20"/>
  <c r="C205" i="20"/>
  <c r="C276" i="20"/>
  <c r="D316" i="20"/>
  <c r="C316" i="20" s="1"/>
  <c r="C193" i="20"/>
  <c r="D233" i="20"/>
  <c r="C189" i="20"/>
  <c r="D229" i="20"/>
  <c r="C201" i="20"/>
  <c r="D241" i="20"/>
  <c r="C264" i="20"/>
  <c r="D304" i="20"/>
  <c r="C304" i="20" s="1"/>
  <c r="C282" i="20"/>
  <c r="D322" i="20"/>
  <c r="C322" i="20" s="1"/>
  <c r="D286" i="20"/>
  <c r="C286" i="20" s="1"/>
  <c r="C246" i="20"/>
  <c r="C256" i="20"/>
  <c r="D296" i="20"/>
  <c r="C296" i="20" s="1"/>
  <c r="D271" i="20"/>
  <c r="C231" i="20"/>
  <c r="B231" i="20" s="1"/>
  <c r="C260" i="20"/>
  <c r="D300" i="20"/>
  <c r="C300" i="20" s="1"/>
  <c r="C268" i="20"/>
  <c r="D308" i="20"/>
  <c r="C308" i="20" s="1"/>
  <c r="D217" i="20"/>
  <c r="C177" i="20"/>
  <c r="C185" i="20"/>
  <c r="D225" i="20"/>
  <c r="D213" i="20"/>
  <c r="C173" i="20"/>
  <c r="D261" i="20"/>
  <c r="C221" i="20"/>
  <c r="C252" i="20"/>
  <c r="D292" i="20"/>
  <c r="C292" i="20" s="1"/>
  <c r="D243" i="20"/>
  <c r="C203" i="20"/>
  <c r="B203" i="20" s="1"/>
  <c r="A203" i="20" s="1"/>
  <c r="D259" i="20"/>
  <c r="C219" i="20"/>
  <c r="B219" i="20" s="1"/>
  <c r="A219" i="20" s="1"/>
  <c r="C270" i="20"/>
  <c r="D310" i="20"/>
  <c r="C310" i="20" s="1"/>
  <c r="D255" i="20"/>
  <c r="C215" i="20"/>
  <c r="B215" i="20" s="1"/>
  <c r="C266" i="20"/>
  <c r="D306" i="20"/>
  <c r="C306" i="20" s="1"/>
  <c r="C280" i="20"/>
  <c r="D320" i="20"/>
  <c r="C320" i="20" s="1"/>
  <c r="D288" i="20"/>
  <c r="C288" i="20" s="1"/>
  <c r="C248" i="20"/>
  <c r="C274" i="20"/>
  <c r="D314" i="20"/>
  <c r="C314" i="20" s="1"/>
  <c r="C258" i="20"/>
  <c r="D298" i="20"/>
  <c r="C298" i="20" s="1"/>
  <c r="D247" i="20"/>
  <c r="C207" i="20"/>
  <c r="B207" i="20" s="1"/>
  <c r="C211" i="20"/>
  <c r="B211" i="20" s="1"/>
  <c r="A211" i="20" s="1"/>
  <c r="D251" i="20"/>
  <c r="C278" i="20"/>
  <c r="D318" i="20"/>
  <c r="C318" i="20" s="1"/>
  <c r="D279" i="20"/>
  <c r="C239" i="20"/>
  <c r="B239" i="20" s="1"/>
  <c r="C275" i="20"/>
  <c r="B275" i="20" s="1"/>
  <c r="A275" i="20" s="1"/>
  <c r="D315" i="20"/>
  <c r="C315" i="20" s="1"/>
  <c r="B315" i="20" s="1"/>
  <c r="A315" i="20" s="1"/>
  <c r="C262" i="20"/>
  <c r="D302" i="20"/>
  <c r="C302" i="20" s="1"/>
  <c r="A39" i="3"/>
  <c r="G19" i="3" s="1"/>
  <c r="G21" i="3"/>
  <c r="A32" i="11"/>
  <c r="A15" i="11"/>
  <c r="A21" i="11" s="1"/>
  <c r="A22" i="11" s="1"/>
  <c r="G18" i="12"/>
  <c r="D20" i="12"/>
  <c r="D19" i="12"/>
  <c r="C20" i="12"/>
  <c r="G19" i="12" s="1"/>
  <c r="C16" i="12"/>
  <c r="A12" i="12"/>
  <c r="A8" i="12"/>
  <c r="J2" i="12" s="1"/>
  <c r="I24" i="6"/>
  <c r="A24" i="6"/>
  <c r="A2" i="6"/>
  <c r="P6" i="11"/>
  <c r="A22" i="6"/>
  <c r="A20" i="6"/>
  <c r="A26" i="6"/>
  <c r="M2" i="4"/>
  <c r="Z3" i="21" s="1"/>
  <c r="A1" i="18"/>
  <c r="B50" i="17"/>
  <c r="B52" i="17" s="1"/>
  <c r="B54" i="17" s="1"/>
  <c r="M9" i="17"/>
  <c r="L8" i="17"/>
  <c r="L6" i="17"/>
  <c r="L5" i="17"/>
  <c r="L9" i="17" s="1"/>
  <c r="J6" i="7"/>
  <c r="A27" i="17"/>
  <c r="I10" i="17"/>
  <c r="I13" i="17"/>
  <c r="B28" i="17"/>
  <c r="A25" i="17"/>
  <c r="D10" i="16"/>
  <c r="H13" i="15"/>
  <c r="A17" i="15"/>
  <c r="A15" i="15"/>
  <c r="B14" i="15"/>
  <c r="B16" i="15"/>
  <c r="B18" i="15" s="1"/>
  <c r="E15" i="15"/>
  <c r="D13" i="15"/>
  <c r="D15" i="15" s="1"/>
  <c r="A70" i="4"/>
  <c r="D2" i="14"/>
  <c r="B10" i="13"/>
  <c r="C4" i="13"/>
  <c r="A6" i="13"/>
  <c r="A4" i="13"/>
  <c r="E8" i="3"/>
  <c r="I5" i="3" s="1"/>
  <c r="I6" i="3" s="1"/>
  <c r="D9" i="12"/>
  <c r="D8" i="12"/>
  <c r="A6" i="12"/>
  <c r="G15" i="12" s="1"/>
  <c r="A28" i="11"/>
  <c r="B26" i="11"/>
  <c r="B19" i="11"/>
  <c r="A13" i="11"/>
  <c r="D8" i="11"/>
  <c r="B38" i="10"/>
  <c r="B31" i="10"/>
  <c r="A27" i="10"/>
  <c r="B26" i="10"/>
  <c r="B19" i="10"/>
  <c r="B10" i="10"/>
  <c r="A2" i="10"/>
  <c r="F36" i="7"/>
  <c r="B46" i="2"/>
  <c r="A16" i="7"/>
  <c r="A38" i="7"/>
  <c r="A34" i="7"/>
  <c r="J20" i="7" s="1"/>
  <c r="E24" i="7"/>
  <c r="E25" i="7"/>
  <c r="H9" i="7"/>
  <c r="H1" i="7"/>
  <c r="A2" i="4"/>
  <c r="D2" i="4" s="1"/>
  <c r="A36" i="3"/>
  <c r="A4" i="6"/>
  <c r="A8" i="6"/>
  <c r="A18" i="6" s="1"/>
  <c r="D22" i="6"/>
  <c r="B12" i="6"/>
  <c r="B30" i="6"/>
  <c r="B4" i="5"/>
  <c r="A6" i="5"/>
  <c r="A52" i="5"/>
  <c r="B20" i="5"/>
  <c r="E30" i="5"/>
  <c r="B46" i="5"/>
  <c r="B54" i="5" s="1"/>
  <c r="N4" i="4"/>
  <c r="N5" i="4" s="1"/>
  <c r="M11" i="4"/>
  <c r="E14" i="4"/>
  <c r="J22" i="3"/>
  <c r="K17" i="3"/>
  <c r="K16" i="3"/>
  <c r="Q6" i="3"/>
  <c r="A8" i="10"/>
  <c r="D2" i="10" s="1"/>
  <c r="F106" i="21" s="1"/>
  <c r="J6" i="3"/>
  <c r="J5" i="3"/>
  <c r="Q2" i="3"/>
  <c r="Q4" i="3"/>
  <c r="A70" i="2"/>
  <c r="B34" i="2"/>
  <c r="D25" i="2"/>
  <c r="J6" i="12" s="1"/>
  <c r="D4" i="2"/>
  <c r="A6" i="2" s="1"/>
  <c r="D2" i="2"/>
  <c r="A4" i="2" s="1"/>
  <c r="L2" i="7"/>
  <c r="I10" i="7"/>
  <c r="E32" i="7"/>
  <c r="B155" i="21" l="1"/>
  <c r="B650" i="21"/>
  <c r="B157" i="21"/>
  <c r="B652" i="21"/>
  <c r="B172" i="21"/>
  <c r="B667" i="21"/>
  <c r="B163" i="21"/>
  <c r="B658" i="21"/>
  <c r="B170" i="21"/>
  <c r="B665" i="21"/>
  <c r="B168" i="21"/>
  <c r="B663" i="21"/>
  <c r="B159" i="21"/>
  <c r="B654" i="21"/>
  <c r="B166" i="21"/>
  <c r="B661" i="21"/>
  <c r="B174" i="21"/>
  <c r="B669" i="21"/>
  <c r="B161" i="21"/>
  <c r="B656" i="21"/>
  <c r="F112" i="21"/>
  <c r="F109" i="21"/>
  <c r="F108" i="21"/>
  <c r="F110" i="21"/>
  <c r="F114" i="21"/>
  <c r="F111" i="21"/>
  <c r="F113" i="21"/>
  <c r="G22" i="6"/>
  <c r="A28" i="6"/>
  <c r="A30" i="6" s="1"/>
  <c r="G8" i="6"/>
  <c r="G10" i="6" s="1"/>
  <c r="Z11" i="21"/>
  <c r="Z10" i="21"/>
  <c r="Z7" i="21"/>
  <c r="Z9" i="21"/>
  <c r="Z6" i="21"/>
  <c r="Z5" i="21"/>
  <c r="Z8" i="21"/>
  <c r="B51" i="21"/>
  <c r="B106" i="21"/>
  <c r="B47" i="21"/>
  <c r="B102" i="21"/>
  <c r="B62" i="21"/>
  <c r="B127" i="21" s="1"/>
  <c r="B117" i="21"/>
  <c r="B53" i="21"/>
  <c r="B108" i="21"/>
  <c r="B60" i="21"/>
  <c r="B125" i="21" s="1"/>
  <c r="B115" i="21"/>
  <c r="B64" i="21"/>
  <c r="B129" i="21" s="1"/>
  <c r="B119" i="21"/>
  <c r="B45" i="21"/>
  <c r="B100" i="21"/>
  <c r="B58" i="21"/>
  <c r="B123" i="21" s="1"/>
  <c r="B113" i="21"/>
  <c r="B49" i="21"/>
  <c r="B104" i="21"/>
  <c r="B56" i="21"/>
  <c r="B121" i="21" s="1"/>
  <c r="B111" i="21"/>
  <c r="W57" i="20"/>
  <c r="V58" i="20"/>
  <c r="D249" i="20"/>
  <c r="C209" i="20"/>
  <c r="D265" i="20"/>
  <c r="C225" i="20"/>
  <c r="C241" i="20"/>
  <c r="D281" i="20"/>
  <c r="D283" i="20"/>
  <c r="C283" i="20" s="1"/>
  <c r="B283" i="20" s="1"/>
  <c r="A283" i="20" s="1"/>
  <c r="C243" i="20"/>
  <c r="B243" i="20" s="1"/>
  <c r="A243" i="20" s="1"/>
  <c r="C255" i="20"/>
  <c r="B255" i="20" s="1"/>
  <c r="D295" i="20"/>
  <c r="C295" i="20" s="1"/>
  <c r="B295" i="20" s="1"/>
  <c r="C217" i="20"/>
  <c r="D257" i="20"/>
  <c r="C245" i="20"/>
  <c r="D285" i="20"/>
  <c r="C285" i="20" s="1"/>
  <c r="D307" i="20"/>
  <c r="C307" i="20" s="1"/>
  <c r="B307" i="20" s="1"/>
  <c r="A307" i="20" s="1"/>
  <c r="C267" i="20"/>
  <c r="B267" i="20" s="1"/>
  <c r="A267" i="20" s="1"/>
  <c r="C251" i="20"/>
  <c r="B251" i="20" s="1"/>
  <c r="A251" i="20" s="1"/>
  <c r="D291" i="20"/>
  <c r="C291" i="20" s="1"/>
  <c r="B291" i="20" s="1"/>
  <c r="A291" i="20" s="1"/>
  <c r="D269" i="20"/>
  <c r="C229" i="20"/>
  <c r="C279" i="20"/>
  <c r="B279" i="20" s="1"/>
  <c r="D319" i="20"/>
  <c r="C319" i="20" s="1"/>
  <c r="B319" i="20" s="1"/>
  <c r="C271" i="20"/>
  <c r="B271" i="20" s="1"/>
  <c r="D311" i="20"/>
  <c r="C311" i="20" s="1"/>
  <c r="B311" i="20" s="1"/>
  <c r="C261" i="20"/>
  <c r="D301" i="20"/>
  <c r="C301" i="20" s="1"/>
  <c r="C277" i="20"/>
  <c r="D317" i="20"/>
  <c r="C317" i="20" s="1"/>
  <c r="C233" i="20"/>
  <c r="D273" i="20"/>
  <c r="C247" i="20"/>
  <c r="B247" i="20" s="1"/>
  <c r="D287" i="20"/>
  <c r="C287" i="20" s="1"/>
  <c r="B287" i="20" s="1"/>
  <c r="C259" i="20"/>
  <c r="B259" i="20" s="1"/>
  <c r="A259" i="20" s="1"/>
  <c r="D299" i="20"/>
  <c r="C299" i="20" s="1"/>
  <c r="B299" i="20" s="1"/>
  <c r="A299" i="20" s="1"/>
  <c r="D253" i="20"/>
  <c r="C213" i="20"/>
  <c r="C263" i="20"/>
  <c r="B263" i="20" s="1"/>
  <c r="D303" i="20"/>
  <c r="C303" i="20" s="1"/>
  <c r="B303" i="20" s="1"/>
  <c r="N13" i="4"/>
  <c r="R7" i="4"/>
  <c r="A4" i="4"/>
  <c r="G10" i="2"/>
  <c r="K4" i="2" s="1"/>
  <c r="H28" i="21" s="1"/>
  <c r="D21" i="2"/>
  <c r="A18" i="12" s="1"/>
  <c r="J10" i="12" s="1"/>
  <c r="A4" i="7"/>
  <c r="A6" i="11"/>
  <c r="A14" i="12"/>
  <c r="D23" i="2"/>
  <c r="A8" i="3"/>
  <c r="D2" i="3" s="1"/>
  <c r="D6" i="2"/>
  <c r="A10" i="2" s="1"/>
  <c r="D8" i="2" s="1"/>
  <c r="D10" i="2" s="1"/>
  <c r="G2" i="6"/>
  <c r="G4" i="6"/>
  <c r="H4" i="6" s="1"/>
  <c r="G17" i="3"/>
  <c r="J11" i="3"/>
  <c r="J17" i="3" s="1"/>
  <c r="J15" i="3"/>
  <c r="J10" i="3"/>
  <c r="J16" i="3" s="1"/>
  <c r="C2" i="13"/>
  <c r="C6" i="13" s="1"/>
  <c r="B188" i="21" l="1"/>
  <c r="B683" i="21"/>
  <c r="B192" i="21"/>
  <c r="B687" i="21"/>
  <c r="B184" i="21"/>
  <c r="B679" i="21"/>
  <c r="B167" i="21"/>
  <c r="B662" i="21"/>
  <c r="B186" i="21"/>
  <c r="B681" i="21"/>
  <c r="B194" i="21"/>
  <c r="B689" i="21"/>
  <c r="B182" i="21"/>
  <c r="B677" i="21"/>
  <c r="B180" i="21"/>
  <c r="B675" i="21"/>
  <c r="B165" i="21"/>
  <c r="B660" i="21"/>
  <c r="B171" i="21"/>
  <c r="B666" i="21"/>
  <c r="B190" i="21"/>
  <c r="B685" i="21"/>
  <c r="B176" i="21"/>
  <c r="B671" i="21"/>
  <c r="B169" i="21"/>
  <c r="B664" i="21"/>
  <c r="B178" i="21"/>
  <c r="B673" i="21"/>
  <c r="B173" i="21"/>
  <c r="B668" i="21"/>
  <c r="G106" i="21"/>
  <c r="L2" i="6"/>
  <c r="L6" i="6"/>
  <c r="B63" i="21"/>
  <c r="B128" i="21" s="1"/>
  <c r="B118" i="21"/>
  <c r="B57" i="21"/>
  <c r="B122" i="21" s="1"/>
  <c r="B112" i="21"/>
  <c r="B55" i="21"/>
  <c r="B110" i="21"/>
  <c r="B59" i="21"/>
  <c r="B124" i="21" s="1"/>
  <c r="B114" i="21"/>
  <c r="B61" i="21"/>
  <c r="B126" i="21" s="1"/>
  <c r="B116" i="21"/>
  <c r="V59" i="20"/>
  <c r="W59" i="20" s="1"/>
  <c r="W58" i="20"/>
  <c r="I36" i="21"/>
  <c r="I37" i="21"/>
  <c r="I34" i="21"/>
  <c r="I41" i="21"/>
  <c r="I39" i="21"/>
  <c r="I48" i="21"/>
  <c r="I50" i="21"/>
  <c r="I44" i="21"/>
  <c r="I47" i="21"/>
  <c r="I38" i="21"/>
  <c r="I46" i="21"/>
  <c r="I31" i="21"/>
  <c r="I30" i="21"/>
  <c r="I35" i="21"/>
  <c r="I32" i="21"/>
  <c r="I49" i="21"/>
  <c r="I45" i="21"/>
  <c r="I40" i="21"/>
  <c r="I42" i="21"/>
  <c r="I33" i="21"/>
  <c r="I43" i="21"/>
  <c r="D289" i="20"/>
  <c r="C289" i="20" s="1"/>
  <c r="C249" i="20"/>
  <c r="C273" i="20"/>
  <c r="D313" i="20"/>
  <c r="C313" i="20" s="1"/>
  <c r="C281" i="20"/>
  <c r="D321" i="20"/>
  <c r="C321" i="20" s="1"/>
  <c r="C257" i="20"/>
  <c r="D297" i="20"/>
  <c r="C297" i="20" s="1"/>
  <c r="C253" i="20"/>
  <c r="D293" i="20"/>
  <c r="C293" i="20" s="1"/>
  <c r="C269" i="20"/>
  <c r="D309" i="20"/>
  <c r="C309" i="20" s="1"/>
  <c r="C265" i="20"/>
  <c r="D305" i="20"/>
  <c r="C305" i="20" s="1"/>
  <c r="G6" i="6"/>
  <c r="H2" i="6"/>
  <c r="D12" i="2"/>
  <c r="D13" i="2" s="1"/>
  <c r="D15" i="2" s="1"/>
  <c r="D17" i="2" s="1"/>
  <c r="AC3" i="21" l="1"/>
  <c r="AB3" i="21"/>
  <c r="J106" i="21"/>
  <c r="I106" i="21"/>
  <c r="F117" i="21" s="1"/>
  <c r="F126" i="21" s="1"/>
  <c r="H106" i="21"/>
  <c r="B181" i="21"/>
  <c r="B676" i="21"/>
  <c r="B183" i="21"/>
  <c r="B678" i="21"/>
  <c r="B187" i="21"/>
  <c r="B682" i="21"/>
  <c r="B193" i="21"/>
  <c r="B688" i="21"/>
  <c r="B177" i="21"/>
  <c r="B672" i="21"/>
  <c r="B179" i="21"/>
  <c r="B674" i="21"/>
  <c r="B189" i="21"/>
  <c r="B684" i="21"/>
  <c r="B191" i="21"/>
  <c r="B686" i="21"/>
  <c r="B175" i="21"/>
  <c r="B670" i="21"/>
  <c r="G2" i="2"/>
  <c r="H3" i="21" s="1"/>
  <c r="H20" i="21" s="1"/>
  <c r="F180" i="21"/>
  <c r="J28" i="21"/>
  <c r="K28" i="21" s="1"/>
  <c r="K6" i="2" s="1"/>
  <c r="B65" i="21"/>
  <c r="B130" i="21" s="1"/>
  <c r="B120" i="21"/>
  <c r="L4" i="6"/>
  <c r="G12" i="6"/>
  <c r="A4" i="3"/>
  <c r="A2" i="7"/>
  <c r="D19" i="2"/>
  <c r="A68" i="21" s="1"/>
  <c r="D4" i="3"/>
  <c r="D6" i="3" s="1"/>
  <c r="K2" i="2"/>
  <c r="A4" i="11"/>
  <c r="G14" i="6"/>
  <c r="H14" i="6" s="1"/>
  <c r="B185" i="21" l="1"/>
  <c r="B680" i="21"/>
  <c r="B195" i="21"/>
  <c r="B690" i="21"/>
  <c r="A12" i="10"/>
  <c r="A14" i="10"/>
  <c r="F149" i="21"/>
  <c r="F134" i="21"/>
  <c r="F125" i="21"/>
  <c r="F146" i="21"/>
  <c r="F159" i="21"/>
  <c r="F148" i="21"/>
  <c r="F158" i="21"/>
  <c r="F136" i="21"/>
  <c r="F143" i="21"/>
  <c r="F133" i="21"/>
  <c r="F124" i="21"/>
  <c r="F141" i="21"/>
  <c r="F121" i="21"/>
  <c r="F129" i="21"/>
  <c r="F151" i="21"/>
  <c r="F138" i="21"/>
  <c r="F119" i="21"/>
  <c r="F152" i="21"/>
  <c r="F144" i="21"/>
  <c r="F160" i="21"/>
  <c r="F137" i="21"/>
  <c r="F155" i="21"/>
  <c r="F150" i="21"/>
  <c r="F127" i="21"/>
  <c r="F142" i="21"/>
  <c r="F128" i="21"/>
  <c r="F145" i="21"/>
  <c r="F161" i="21"/>
  <c r="F123" i="21"/>
  <c r="F140" i="21"/>
  <c r="F153" i="21"/>
  <c r="F122" i="21"/>
  <c r="F132" i="21"/>
  <c r="F157" i="21"/>
  <c r="F147" i="21"/>
  <c r="F130" i="21"/>
  <c r="F156" i="21"/>
  <c r="F154" i="21"/>
  <c r="F120" i="21"/>
  <c r="F131" i="21"/>
  <c r="F139" i="21"/>
  <c r="F135" i="21"/>
  <c r="F53" i="21"/>
  <c r="F69" i="21" s="1"/>
  <c r="F186" i="21"/>
  <c r="F185" i="21"/>
  <c r="F184" i="21"/>
  <c r="F183" i="21"/>
  <c r="F182" i="21"/>
  <c r="H24" i="21"/>
  <c r="H6" i="21"/>
  <c r="H21" i="21"/>
  <c r="H7" i="21"/>
  <c r="H12" i="21"/>
  <c r="H11" i="21"/>
  <c r="H14" i="21"/>
  <c r="H17" i="21"/>
  <c r="H23" i="21"/>
  <c r="H13" i="21"/>
  <c r="H8" i="21"/>
  <c r="H10" i="21"/>
  <c r="H15" i="21"/>
  <c r="H22" i="21"/>
  <c r="H18" i="21"/>
  <c r="H9" i="21"/>
  <c r="H5" i="21"/>
  <c r="H16" i="21"/>
  <c r="H25" i="21"/>
  <c r="H19" i="21"/>
  <c r="A130" i="21"/>
  <c r="A109" i="21"/>
  <c r="A100" i="21"/>
  <c r="A84" i="21"/>
  <c r="A124" i="21"/>
  <c r="A115" i="21"/>
  <c r="A107" i="21"/>
  <c r="A99" i="21"/>
  <c r="A91" i="21"/>
  <c r="A83" i="21"/>
  <c r="A75" i="21"/>
  <c r="A123" i="21"/>
  <c r="A114" i="21"/>
  <c r="A106" i="21"/>
  <c r="A98" i="21"/>
  <c r="A90" i="21"/>
  <c r="A82" i="21"/>
  <c r="A74" i="21"/>
  <c r="A122" i="21"/>
  <c r="A113" i="21"/>
  <c r="A105" i="21"/>
  <c r="A97" i="21"/>
  <c r="A89" i="21"/>
  <c r="A81" i="21"/>
  <c r="A73" i="21"/>
  <c r="A121" i="21"/>
  <c r="A112" i="21"/>
  <c r="A104" i="21"/>
  <c r="A96" i="21"/>
  <c r="A88" i="21"/>
  <c r="A80" i="21"/>
  <c r="A72" i="21"/>
  <c r="A119" i="21"/>
  <c r="A111" i="21"/>
  <c r="A103" i="21"/>
  <c r="A95" i="21"/>
  <c r="A87" i="21"/>
  <c r="A79" i="21"/>
  <c r="A71" i="21"/>
  <c r="A127" i="21"/>
  <c r="A118" i="21"/>
  <c r="A110" i="21"/>
  <c r="A102" i="21"/>
  <c r="A94" i="21"/>
  <c r="A86" i="21"/>
  <c r="A78" i="21"/>
  <c r="A70" i="21"/>
  <c r="A126" i="21"/>
  <c r="A117" i="21"/>
  <c r="A101" i="21"/>
  <c r="A93" i="21"/>
  <c r="A85" i="21"/>
  <c r="A77" i="21"/>
  <c r="A125" i="21"/>
  <c r="A116" i="21"/>
  <c r="A108" i="21"/>
  <c r="A92" i="21"/>
  <c r="A76" i="21"/>
  <c r="A120" i="21"/>
  <c r="A128" i="21"/>
  <c r="A129" i="21"/>
  <c r="I22" i="3"/>
  <c r="F6" i="3"/>
  <c r="D8" i="3"/>
  <c r="A14" i="4"/>
  <c r="D4" i="4" s="1"/>
  <c r="E2" i="7"/>
  <c r="E3" i="7" s="1"/>
  <c r="H12" i="6"/>
  <c r="I14" i="6" s="1"/>
  <c r="G16" i="6"/>
  <c r="G117" i="21" l="1"/>
  <c r="H117" i="21" s="1"/>
  <c r="R117" i="21" s="1"/>
  <c r="F89" i="21"/>
  <c r="F77" i="21"/>
  <c r="F56" i="21"/>
  <c r="F82" i="21"/>
  <c r="F91" i="21"/>
  <c r="F78" i="21"/>
  <c r="F55" i="21"/>
  <c r="F98" i="21"/>
  <c r="F92" i="21"/>
  <c r="F93" i="21"/>
  <c r="F90" i="21"/>
  <c r="F85" i="21"/>
  <c r="F80" i="21"/>
  <c r="F63" i="21"/>
  <c r="F96" i="21"/>
  <c r="F64" i="21"/>
  <c r="F94" i="21"/>
  <c r="F60" i="21"/>
  <c r="F62" i="21"/>
  <c r="F97" i="21"/>
  <c r="F57" i="21"/>
  <c r="F76" i="21"/>
  <c r="F79" i="21"/>
  <c r="F65" i="21"/>
  <c r="F58" i="21"/>
  <c r="F67" i="21"/>
  <c r="F84" i="21"/>
  <c r="F86" i="21"/>
  <c r="F72" i="21"/>
  <c r="F88" i="21"/>
  <c r="F87" i="21"/>
  <c r="F73" i="21"/>
  <c r="F66" i="21"/>
  <c r="F75" i="21"/>
  <c r="F61" i="21"/>
  <c r="F68" i="21"/>
  <c r="F71" i="21"/>
  <c r="F59" i="21"/>
  <c r="F70" i="21"/>
  <c r="F95" i="21"/>
  <c r="F81" i="21"/>
  <c r="F74" i="21"/>
  <c r="F83" i="21"/>
  <c r="G180" i="21"/>
  <c r="H180" i="21" s="1"/>
  <c r="A2" i="17" s="1"/>
  <c r="J3" i="21"/>
  <c r="B68" i="21"/>
  <c r="C68" i="21" s="1"/>
  <c r="A22" i="2" s="1"/>
  <c r="H16" i="6"/>
  <c r="G18" i="6"/>
  <c r="E12" i="7"/>
  <c r="E5" i="7"/>
  <c r="E6" i="7" s="1"/>
  <c r="Z117" i="21" s="1"/>
  <c r="E8" i="7"/>
  <c r="I2" i="7" s="1"/>
  <c r="E16" i="7"/>
  <c r="E10" i="7"/>
  <c r="E14" i="7"/>
  <c r="A6" i="6"/>
  <c r="D6" i="6" s="1"/>
  <c r="D8" i="4"/>
  <c r="D6" i="4"/>
  <c r="I2" i="3"/>
  <c r="I3" i="3" s="1"/>
  <c r="D10" i="3"/>
  <c r="O3" i="21" l="1"/>
  <c r="N3" i="21"/>
  <c r="M3" i="21"/>
  <c r="A34" i="2" s="1"/>
  <c r="L3" i="21"/>
  <c r="A28" i="2" s="1"/>
  <c r="K3" i="21"/>
  <c r="A30" i="2" s="1"/>
  <c r="A16" i="10"/>
  <c r="T68" i="21" s="1"/>
  <c r="G53" i="21"/>
  <c r="H53" i="21" s="1"/>
  <c r="A26" i="2" s="1"/>
  <c r="Q75" i="21"/>
  <c r="Q90" i="21" s="1"/>
  <c r="R132" i="21"/>
  <c r="V120" i="21"/>
  <c r="V119" i="21"/>
  <c r="R129" i="21"/>
  <c r="R128" i="21"/>
  <c r="R124" i="21"/>
  <c r="V121" i="21"/>
  <c r="R127" i="21"/>
  <c r="V134" i="21"/>
  <c r="V127" i="21"/>
  <c r="V129" i="21"/>
  <c r="R122" i="21"/>
  <c r="V130" i="21"/>
  <c r="R119" i="21"/>
  <c r="V122" i="21"/>
  <c r="R123" i="21"/>
  <c r="R130" i="21"/>
  <c r="V123" i="21"/>
  <c r="R131" i="21"/>
  <c r="V128" i="21"/>
  <c r="V131" i="21"/>
  <c r="R134" i="21"/>
  <c r="V124" i="21"/>
  <c r="R133" i="21"/>
  <c r="V132" i="21"/>
  <c r="R126" i="21"/>
  <c r="R125" i="21"/>
  <c r="V126" i="21"/>
  <c r="R121" i="21"/>
  <c r="R120" i="21"/>
  <c r="V133" i="21"/>
  <c r="V125" i="21"/>
  <c r="Z138" i="21"/>
  <c r="Z130" i="21"/>
  <c r="Z122" i="21"/>
  <c r="Z137" i="21"/>
  <c r="Z129" i="21"/>
  <c r="Z121" i="21"/>
  <c r="Z128" i="21"/>
  <c r="Z120" i="21"/>
  <c r="Z136" i="21"/>
  <c r="AA117" i="21" s="1"/>
  <c r="AB117" i="21" s="1"/>
  <c r="Z143" i="21"/>
  <c r="Z135" i="21"/>
  <c r="Z127" i="21"/>
  <c r="Z119" i="21"/>
  <c r="Z142" i="21"/>
  <c r="Z134" i="21"/>
  <c r="Z126" i="21"/>
  <c r="Z132" i="21"/>
  <c r="Z131" i="21"/>
  <c r="Z141" i="21"/>
  <c r="Z133" i="21"/>
  <c r="Z125" i="21"/>
  <c r="Z140" i="21"/>
  <c r="Z124" i="21"/>
  <c r="Z139" i="21"/>
  <c r="Z123" i="21"/>
  <c r="A40" i="2"/>
  <c r="A32" i="2"/>
  <c r="I12" i="7"/>
  <c r="I14" i="7" s="1"/>
  <c r="I4" i="7"/>
  <c r="I6" i="7" s="1"/>
  <c r="E18" i="7"/>
  <c r="I8" i="7"/>
  <c r="I10" i="3"/>
  <c r="I16" i="3" s="1"/>
  <c r="M16" i="3" s="1"/>
  <c r="I15" i="3"/>
  <c r="M15" i="3" s="1"/>
  <c r="I11" i="3"/>
  <c r="I17" i="3" s="1"/>
  <c r="M17" i="3" s="1"/>
  <c r="H18" i="6"/>
  <c r="A30" i="11" s="1"/>
  <c r="G20" i="6"/>
  <c r="H20" i="6"/>
  <c r="G24" i="6"/>
  <c r="D10" i="4"/>
  <c r="E10" i="4" s="1"/>
  <c r="D2" i="5"/>
  <c r="A17" i="11"/>
  <c r="D2" i="6"/>
  <c r="D4" i="6" s="1"/>
  <c r="D17" i="5"/>
  <c r="A198" i="21" s="1"/>
  <c r="D10" i="5"/>
  <c r="D12" i="4"/>
  <c r="E12" i="4" s="1"/>
  <c r="J2" i="4"/>
  <c r="N66" i="21" s="1"/>
  <c r="J4" i="4"/>
  <c r="J6" i="4" s="1"/>
  <c r="A28" i="4" s="1"/>
  <c r="J8" i="4" s="1"/>
  <c r="A19" i="11"/>
  <c r="Q5" i="4"/>
  <c r="D4" i="10" l="1"/>
  <c r="A18" i="10" s="1"/>
  <c r="A2" i="28"/>
  <c r="AE78" i="21" s="1"/>
  <c r="V68" i="21"/>
  <c r="A22" i="10" s="1"/>
  <c r="U68" i="21"/>
  <c r="A20" i="10" s="1"/>
  <c r="AE93" i="21"/>
  <c r="AE81" i="21"/>
  <c r="AE92" i="21"/>
  <c r="AE80" i="21"/>
  <c r="AE91" i="21"/>
  <c r="AE90" i="21"/>
  <c r="AE84" i="21"/>
  <c r="AE83" i="21"/>
  <c r="AE82" i="21"/>
  <c r="J2" i="28"/>
  <c r="J3" i="28"/>
  <c r="J7" i="28"/>
  <c r="J5" i="28" s="1"/>
  <c r="A8" i="28" s="1"/>
  <c r="Q78" i="21"/>
  <c r="Q89" i="21"/>
  <c r="Q81" i="21"/>
  <c r="Q85" i="21"/>
  <c r="Q80" i="21"/>
  <c r="Q91" i="21"/>
  <c r="Q87" i="21"/>
  <c r="Q83" i="21"/>
  <c r="Q86" i="21"/>
  <c r="Q92" i="21"/>
  <c r="Q79" i="21"/>
  <c r="Q77" i="21"/>
  <c r="Q84" i="21"/>
  <c r="Q82" i="21"/>
  <c r="Q88" i="21"/>
  <c r="S117" i="21"/>
  <c r="T117" i="21" s="1"/>
  <c r="A10" i="14" s="1"/>
  <c r="W117" i="21"/>
  <c r="X117" i="21" s="1"/>
  <c r="A12" i="14" s="1"/>
  <c r="A20" i="15" s="1"/>
  <c r="A336" i="21"/>
  <c r="A328" i="21"/>
  <c r="A320" i="21"/>
  <c r="A312" i="21"/>
  <c r="A304" i="21"/>
  <c r="A296" i="21"/>
  <c r="A288" i="21"/>
  <c r="A280" i="21"/>
  <c r="A272" i="21"/>
  <c r="A264" i="21"/>
  <c r="A256" i="21"/>
  <c r="A248" i="21"/>
  <c r="A240" i="21"/>
  <c r="A232" i="21"/>
  <c r="A224" i="21"/>
  <c r="A216" i="21"/>
  <c r="A208" i="21"/>
  <c r="A325" i="21"/>
  <c r="A293" i="21"/>
  <c r="A277" i="21"/>
  <c r="A253" i="21"/>
  <c r="A229" i="21"/>
  <c r="A335" i="21"/>
  <c r="A327" i="21"/>
  <c r="A319" i="21"/>
  <c r="A311" i="21"/>
  <c r="A303" i="21"/>
  <c r="A295" i="21"/>
  <c r="A287" i="21"/>
  <c r="A279" i="21"/>
  <c r="A271" i="21"/>
  <c r="A263" i="21"/>
  <c r="A255" i="21"/>
  <c r="A247" i="21"/>
  <c r="A239" i="21"/>
  <c r="A231" i="21"/>
  <c r="A223" i="21"/>
  <c r="A215" i="21"/>
  <c r="A333" i="21"/>
  <c r="A317" i="21"/>
  <c r="A309" i="21"/>
  <c r="A285" i="21"/>
  <c r="A269" i="21"/>
  <c r="A261" i="21"/>
  <c r="A245" i="21"/>
  <c r="A221" i="21"/>
  <c r="A213" i="21"/>
  <c r="A274" i="21"/>
  <c r="A234" i="21"/>
  <c r="A334" i="21"/>
  <c r="A326" i="21"/>
  <c r="A318" i="21"/>
  <c r="A310" i="21"/>
  <c r="A302" i="21"/>
  <c r="A294" i="21"/>
  <c r="A286" i="21"/>
  <c r="A278" i="21"/>
  <c r="A270" i="21"/>
  <c r="A262" i="21"/>
  <c r="A254" i="21"/>
  <c r="A246" i="21"/>
  <c r="A238" i="21"/>
  <c r="A230" i="21"/>
  <c r="A222" i="21"/>
  <c r="A214" i="21"/>
  <c r="A338" i="21"/>
  <c r="A330" i="21"/>
  <c r="A322" i="21"/>
  <c r="A314" i="21"/>
  <c r="A306" i="21"/>
  <c r="A298" i="21"/>
  <c r="A282" i="21"/>
  <c r="A266" i="21"/>
  <c r="A226" i="21"/>
  <c r="A218" i="21"/>
  <c r="A340" i="21"/>
  <c r="A332" i="21"/>
  <c r="A324" i="21"/>
  <c r="A316" i="21"/>
  <c r="A308" i="21"/>
  <c r="A300" i="21"/>
  <c r="A292" i="21"/>
  <c r="A284" i="21"/>
  <c r="A276" i="21"/>
  <c r="A268" i="21"/>
  <c r="A260" i="21"/>
  <c r="A252" i="21"/>
  <c r="A244" i="21"/>
  <c r="A236" i="21"/>
  <c r="A228" i="21"/>
  <c r="A220" i="21"/>
  <c r="A212" i="21"/>
  <c r="A250" i="21"/>
  <c r="A210" i="21"/>
  <c r="A339" i="21"/>
  <c r="A331" i="21"/>
  <c r="A323" i="21"/>
  <c r="A315" i="21"/>
  <c r="A307" i="21"/>
  <c r="A299" i="21"/>
  <c r="A291" i="21"/>
  <c r="A283" i="21"/>
  <c r="A275" i="21"/>
  <c r="A267" i="21"/>
  <c r="A259" i="21"/>
  <c r="A251" i="21"/>
  <c r="A243" i="21"/>
  <c r="A235" i="21"/>
  <c r="A227" i="21"/>
  <c r="A219" i="21"/>
  <c r="A211" i="21"/>
  <c r="A290" i="21"/>
  <c r="A242" i="21"/>
  <c r="A337" i="21"/>
  <c r="A329" i="21"/>
  <c r="A321" i="21"/>
  <c r="A313" i="21"/>
  <c r="A305" i="21"/>
  <c r="A297" i="21"/>
  <c r="A289" i="21"/>
  <c r="A281" i="21"/>
  <c r="A273" i="21"/>
  <c r="A265" i="21"/>
  <c r="A257" i="21"/>
  <c r="A249" i="21"/>
  <c r="A241" i="21"/>
  <c r="A233" i="21"/>
  <c r="A225" i="21"/>
  <c r="A217" i="21"/>
  <c r="A209" i="21"/>
  <c r="A301" i="21"/>
  <c r="A237" i="21"/>
  <c r="A258" i="21"/>
  <c r="A200" i="21"/>
  <c r="A205" i="21"/>
  <c r="A206" i="21"/>
  <c r="A203" i="21"/>
  <c r="A202" i="21"/>
  <c r="A207" i="21"/>
  <c r="A204" i="21"/>
  <c r="A201" i="21"/>
  <c r="D14" i="4"/>
  <c r="A18" i="7"/>
  <c r="N71" i="21"/>
  <c r="N68" i="21"/>
  <c r="N70" i="21"/>
  <c r="N69" i="21"/>
  <c r="N73" i="21"/>
  <c r="N72" i="21"/>
  <c r="N74" i="21"/>
  <c r="D10" i="11"/>
  <c r="J7" i="11" s="1"/>
  <c r="G4" i="2"/>
  <c r="A3" i="21" s="1"/>
  <c r="A63" i="21" s="1"/>
  <c r="J10" i="4"/>
  <c r="L8" i="6"/>
  <c r="H22" i="6"/>
  <c r="H24" i="6"/>
  <c r="E20" i="7"/>
  <c r="E22" i="7" s="1"/>
  <c r="A22" i="7" s="1"/>
  <c r="A4" i="16" s="1"/>
  <c r="H6" i="16" s="1"/>
  <c r="I16" i="7"/>
  <c r="I18" i="7" s="1"/>
  <c r="I20" i="7" s="1"/>
  <c r="I23" i="7" s="1"/>
  <c r="I25" i="7" s="1"/>
  <c r="I27" i="7" s="1"/>
  <c r="D8" i="6"/>
  <c r="D10" i="6" s="1"/>
  <c r="D14" i="6" s="1"/>
  <c r="D16" i="6" s="1"/>
  <c r="A18" i="3"/>
  <c r="A16" i="3"/>
  <c r="D4" i="5"/>
  <c r="D6" i="5"/>
  <c r="R75" i="21" l="1"/>
  <c r="B198" i="21"/>
  <c r="C198" i="21" s="1"/>
  <c r="A32" i="5" s="1"/>
  <c r="J11" i="4" s="1"/>
  <c r="E34" i="7"/>
  <c r="A20" i="12" s="1"/>
  <c r="J12" i="12" s="1"/>
  <c r="E36" i="7"/>
  <c r="A43" i="21"/>
  <c r="D12" i="11"/>
  <c r="D14" i="11" s="1"/>
  <c r="D15" i="11" s="1"/>
  <c r="D17" i="11" s="1"/>
  <c r="A30" i="21"/>
  <c r="A17" i="21"/>
  <c r="A38" i="21"/>
  <c r="A51" i="21"/>
  <c r="A18" i="21"/>
  <c r="A33" i="21"/>
  <c r="A64" i="21"/>
  <c r="A16" i="21"/>
  <c r="A37" i="21"/>
  <c r="A42" i="21"/>
  <c r="A13" i="21"/>
  <c r="A21" i="21"/>
  <c r="A61" i="21"/>
  <c r="A41" i="21"/>
  <c r="A22" i="21"/>
  <c r="A46" i="21"/>
  <c r="A49" i="21"/>
  <c r="A31" i="21"/>
  <c r="A36" i="21"/>
  <c r="A6" i="21"/>
  <c r="A52" i="21"/>
  <c r="A53" i="21"/>
  <c r="A57" i="21"/>
  <c r="A58" i="21"/>
  <c r="A35" i="21"/>
  <c r="A9" i="21"/>
  <c r="A45" i="21"/>
  <c r="A60" i="21"/>
  <c r="A55" i="21"/>
  <c r="A5" i="21"/>
  <c r="A14" i="21"/>
  <c r="A47" i="21"/>
  <c r="A25" i="21"/>
  <c r="A65" i="21"/>
  <c r="A48" i="21"/>
  <c r="A26" i="21"/>
  <c r="A32" i="21"/>
  <c r="A12" i="21"/>
  <c r="A24" i="21"/>
  <c r="A29" i="21"/>
  <c r="A56" i="21"/>
  <c r="A20" i="21"/>
  <c r="A23" i="21"/>
  <c r="A19" i="21"/>
  <c r="A54" i="21"/>
  <c r="A44" i="21"/>
  <c r="A8" i="21"/>
  <c r="A11" i="21"/>
  <c r="A40" i="21"/>
  <c r="A27" i="21"/>
  <c r="A28" i="21"/>
  <c r="A15" i="21"/>
  <c r="A34" i="21"/>
  <c r="A50" i="21"/>
  <c r="A39" i="21"/>
  <c r="A7" i="21"/>
  <c r="A59" i="21"/>
  <c r="A10" i="21"/>
  <c r="A62" i="21"/>
  <c r="D11" i="16"/>
  <c r="D8" i="5"/>
  <c r="D19" i="5" s="1"/>
  <c r="D11" i="5"/>
  <c r="AH3" i="21" s="1"/>
  <c r="A34" i="11"/>
  <c r="A40" i="11" s="1"/>
  <c r="G29" i="3"/>
  <c r="G25" i="3"/>
  <c r="M10" i="6"/>
  <c r="L10" i="6"/>
  <c r="L12" i="6" s="1"/>
  <c r="I20" i="3"/>
  <c r="G23" i="3"/>
  <c r="Q8" i="3"/>
  <c r="G27" i="3"/>
  <c r="D12" i="6"/>
  <c r="D18" i="6" s="1"/>
  <c r="D20" i="6" s="1"/>
  <c r="S75" i="21" l="1"/>
  <c r="A24" i="10" s="1"/>
  <c r="T75" i="21"/>
  <c r="A26" i="10" s="1"/>
  <c r="A16" i="17"/>
  <c r="AH20" i="21"/>
  <c r="AH19" i="21"/>
  <c r="AH11" i="21"/>
  <c r="AH18" i="21"/>
  <c r="AH10" i="21"/>
  <c r="AH12" i="21"/>
  <c r="AH25" i="21"/>
  <c r="AH17" i="21"/>
  <c r="AH9" i="21"/>
  <c r="AH21" i="21"/>
  <c r="AH24" i="21"/>
  <c r="AH16" i="21"/>
  <c r="AH8" i="21"/>
  <c r="AH13" i="21"/>
  <c r="AH23" i="21"/>
  <c r="AH15" i="21"/>
  <c r="AH7" i="21"/>
  <c r="AH22" i="21"/>
  <c r="AH14" i="21"/>
  <c r="AH6" i="21"/>
  <c r="AH5" i="21"/>
  <c r="J2" i="11"/>
  <c r="J4" i="11" s="1"/>
  <c r="J5" i="11" s="1"/>
  <c r="C5" i="21"/>
  <c r="D5" i="21" s="1"/>
  <c r="A38" i="2" s="1"/>
  <c r="G6" i="2" s="1"/>
  <c r="G8" i="2" s="1"/>
  <c r="A16" i="12" s="1"/>
  <c r="J8" i="12" s="1"/>
  <c r="C8" i="12" s="1"/>
  <c r="C9" i="12" s="1"/>
  <c r="G8" i="12" s="1"/>
  <c r="C16" i="3"/>
  <c r="C18" i="3"/>
  <c r="A8" i="15"/>
  <c r="D7" i="15" s="1"/>
  <c r="A10" i="10"/>
  <c r="G2" i="10" s="1"/>
  <c r="J117" i="21" s="1"/>
  <c r="J158" i="21" l="1"/>
  <c r="J157" i="21"/>
  <c r="J149" i="21"/>
  <c r="J141" i="21"/>
  <c r="J133" i="21"/>
  <c r="J125" i="21"/>
  <c r="J155" i="21"/>
  <c r="J139" i="21"/>
  <c r="J123" i="21"/>
  <c r="J146" i="21"/>
  <c r="J130" i="21"/>
  <c r="J152" i="21"/>
  <c r="J128" i="21"/>
  <c r="J159" i="21"/>
  <c r="J143" i="21"/>
  <c r="J135" i="21"/>
  <c r="J126" i="21"/>
  <c r="J156" i="21"/>
  <c r="J148" i="21"/>
  <c r="J140" i="21"/>
  <c r="J132" i="21"/>
  <c r="J124" i="21"/>
  <c r="J147" i="21"/>
  <c r="J131" i="21"/>
  <c r="J154" i="21"/>
  <c r="J138" i="21"/>
  <c r="J122" i="21"/>
  <c r="J160" i="21"/>
  <c r="J144" i="21"/>
  <c r="J136" i="21"/>
  <c r="J120" i="21"/>
  <c r="J151" i="21"/>
  <c r="J127" i="21"/>
  <c r="J150" i="21"/>
  <c r="J134" i="21"/>
  <c r="J119" i="21"/>
  <c r="J142" i="21"/>
  <c r="J161" i="21"/>
  <c r="J153" i="21"/>
  <c r="J145" i="21"/>
  <c r="J137" i="21"/>
  <c r="J129" i="21"/>
  <c r="J121" i="21"/>
  <c r="AI3" i="21"/>
  <c r="AM3" i="21" s="1"/>
  <c r="AN3" i="21" l="1"/>
  <c r="AL3" i="21"/>
  <c r="A22" i="5" s="1"/>
  <c r="AK3" i="21"/>
  <c r="A16" i="5" s="1"/>
  <c r="AJ3" i="21"/>
  <c r="K117" i="21"/>
  <c r="L117" i="21" s="1"/>
  <c r="A24" i="5"/>
  <c r="A42" i="5" s="1"/>
  <c r="D22" i="5" s="1"/>
  <c r="A18" i="5"/>
  <c r="A20" i="5"/>
  <c r="D13" i="5" l="1"/>
  <c r="A28" i="5" s="1"/>
  <c r="D15" i="5" s="1"/>
  <c r="A28" i="10"/>
  <c r="V117" i="21"/>
  <c r="D21" i="5"/>
  <c r="A48" i="5" s="1"/>
  <c r="D26" i="5" s="1"/>
  <c r="D28" i="5" s="1"/>
  <c r="D30" i="5" s="1"/>
  <c r="D24" i="5"/>
  <c r="H4" i="15" l="1"/>
  <c r="A22" i="15" s="1"/>
  <c r="A4" i="28"/>
  <c r="AE87" i="21" s="1"/>
  <c r="V75" i="21"/>
  <c r="V87" i="21" s="1"/>
  <c r="H2" i="15"/>
  <c r="T72" i="21"/>
  <c r="U72" i="21" s="1"/>
  <c r="A32" i="10" s="1"/>
  <c r="G4" i="10"/>
  <c r="A30" i="10" s="1"/>
  <c r="H6" i="15"/>
  <c r="H7" i="15"/>
  <c r="A50" i="5"/>
  <c r="D32" i="5" s="1"/>
  <c r="AE89" i="21" l="1"/>
  <c r="AF87" i="21" s="1"/>
  <c r="AF78" i="21"/>
  <c r="J14" i="28"/>
  <c r="J12" i="28" s="1"/>
  <c r="J10" i="28"/>
  <c r="J9" i="28"/>
  <c r="V83" i="21"/>
  <c r="V81" i="21"/>
  <c r="V84" i="21"/>
  <c r="V85" i="21"/>
  <c r="V80" i="21"/>
  <c r="V86" i="21"/>
  <c r="V82" i="21"/>
  <c r="V89" i="21"/>
  <c r="V88" i="21"/>
  <c r="V77" i="21"/>
  <c r="V79" i="21"/>
  <c r="V90" i="21"/>
  <c r="V91" i="21"/>
  <c r="V92" i="21"/>
  <c r="V78" i="21"/>
  <c r="V72" i="21"/>
  <c r="A34" i="10" s="1"/>
  <c r="A56" i="5"/>
  <c r="D34" i="5" s="1"/>
  <c r="D36" i="5" s="1"/>
  <c r="D38" i="5" s="1"/>
  <c r="D40" i="5" s="1"/>
  <c r="D44" i="5" s="1"/>
  <c r="D48" i="5" s="1"/>
  <c r="AO87" i="21" l="1"/>
  <c r="G18" i="28" s="1"/>
  <c r="AG87" i="21"/>
  <c r="G2" i="28" s="1"/>
  <c r="AN87" i="21"/>
  <c r="G16" i="28" s="1"/>
  <c r="AM87" i="21"/>
  <c r="G14" i="28" s="1"/>
  <c r="AH87" i="21"/>
  <c r="G4" i="28" s="1"/>
  <c r="AL87" i="21"/>
  <c r="G10" i="28" s="1"/>
  <c r="AK87" i="21"/>
  <c r="G12" i="28" s="1"/>
  <c r="AJ87" i="21"/>
  <c r="G8" i="28" s="1"/>
  <c r="AI87" i="21"/>
  <c r="G6" i="28" s="1"/>
  <c r="AH78" i="21"/>
  <c r="D4" i="28" s="1"/>
  <c r="AO78" i="21"/>
  <c r="D18" i="28" s="1"/>
  <c r="AG78" i="21"/>
  <c r="D2" i="28" s="1"/>
  <c r="AN78" i="21"/>
  <c r="D16" i="28" s="1"/>
  <c r="AM78" i="21"/>
  <c r="D14" i="28" s="1"/>
  <c r="AL78" i="21"/>
  <c r="D10" i="28" s="1"/>
  <c r="AK78" i="21"/>
  <c r="D12" i="28" s="1"/>
  <c r="AJ78" i="21"/>
  <c r="D8" i="28" s="1"/>
  <c r="AI78" i="21"/>
  <c r="D6" i="28" s="1"/>
  <c r="W75" i="21"/>
  <c r="D42" i="5"/>
  <c r="D46" i="5" s="1"/>
  <c r="A34" i="4"/>
  <c r="M17" i="4" s="1"/>
  <c r="A42" i="4"/>
  <c r="M20" i="4" s="1"/>
  <c r="M22" i="4" s="1"/>
  <c r="X75" i="21" l="1"/>
  <c r="A36" i="10" s="1"/>
  <c r="Y75" i="21"/>
  <c r="A38" i="10" s="1"/>
  <c r="A46" i="17"/>
  <c r="L16" i="17" s="1"/>
  <c r="D52" i="17" s="1"/>
  <c r="A52" i="17" s="1"/>
  <c r="A44" i="17"/>
  <c r="A6" i="28"/>
  <c r="A10" i="28"/>
  <c r="M7" i="4"/>
  <c r="M18" i="4" s="1"/>
  <c r="M4" i="4"/>
  <c r="M15" i="4"/>
  <c r="L84" i="21"/>
  <c r="L87" i="21" s="1"/>
  <c r="M5" i="4"/>
  <c r="L100" i="21" l="1"/>
  <c r="L90" i="21"/>
  <c r="L104" i="21"/>
  <c r="L99" i="21"/>
  <c r="L98" i="21"/>
  <c r="L92" i="21"/>
  <c r="L89" i="21"/>
  <c r="L103" i="21"/>
  <c r="L86" i="21"/>
  <c r="L93" i="21"/>
  <c r="L102" i="21"/>
  <c r="M9" i="4"/>
  <c r="M13" i="4" s="1"/>
  <c r="L91" i="21"/>
  <c r="L105" i="21"/>
  <c r="L88" i="21"/>
  <c r="L94" i="21"/>
  <c r="L101" i="21"/>
  <c r="L96" i="21"/>
  <c r="L97" i="21"/>
  <c r="L95" i="21"/>
  <c r="K84" i="21"/>
  <c r="K93" i="21" l="1"/>
  <c r="K97" i="21"/>
  <c r="K88" i="21"/>
  <c r="K101" i="21"/>
  <c r="K105" i="21"/>
  <c r="K96" i="21"/>
  <c r="K94" i="21"/>
  <c r="K87" i="21"/>
  <c r="K99" i="21"/>
  <c r="K104" i="21"/>
  <c r="K89" i="21"/>
  <c r="K86" i="21"/>
  <c r="K98" i="21"/>
  <c r="K90" i="21"/>
  <c r="K102" i="21"/>
  <c r="K103" i="21"/>
  <c r="K100" i="21"/>
  <c r="K95" i="21"/>
  <c r="K92" i="21"/>
  <c r="K91" i="21"/>
  <c r="M84" i="21" l="1"/>
  <c r="N84" i="21" s="1"/>
  <c r="P66" i="21" s="1"/>
  <c r="A22" i="4" s="1"/>
  <c r="Q3" i="4" s="1"/>
  <c r="A38" i="4" l="1"/>
  <c r="A62" i="4"/>
  <c r="Q2" i="4"/>
  <c r="Z14" i="21" s="1"/>
  <c r="Z19" i="21" s="1"/>
  <c r="Z20" i="21" l="1"/>
  <c r="Z26" i="21"/>
  <c r="Z25" i="21"/>
  <c r="Z29" i="21"/>
  <c r="Z16" i="21"/>
  <c r="Z35" i="21"/>
  <c r="Z28" i="21"/>
  <c r="Z31" i="21"/>
  <c r="Z22" i="21"/>
  <c r="Z23" i="21"/>
  <c r="Z36" i="21"/>
  <c r="Z17" i="21"/>
  <c r="Z33" i="21"/>
  <c r="Z32" i="21"/>
  <c r="Z27" i="21"/>
  <c r="Z30" i="21"/>
  <c r="Z34" i="21"/>
  <c r="Z18" i="21"/>
  <c r="Z21" i="21"/>
  <c r="Z24" i="21"/>
  <c r="AA14" i="21" l="1"/>
  <c r="AD14" i="21" l="1"/>
  <c r="AC14" i="21"/>
  <c r="A48" i="4" s="1"/>
  <c r="AE14" i="21"/>
  <c r="A58" i="4" s="1"/>
  <c r="AB14" i="21"/>
  <c r="A46" i="4" s="1"/>
  <c r="A54" i="4"/>
  <c r="A52" i="4" l="1"/>
  <c r="Q7" i="4"/>
  <c r="Q10" i="4"/>
  <c r="Q11" i="4" s="1"/>
  <c r="Q13" i="4" s="1"/>
  <c r="A133" i="21" s="1"/>
  <c r="A160" i="21" s="1"/>
  <c r="P7" i="4" l="1"/>
  <c r="Q15" i="4"/>
  <c r="A159" i="21"/>
  <c r="A156" i="21"/>
  <c r="A144" i="21"/>
  <c r="A169" i="21"/>
  <c r="B133" i="21" s="1"/>
  <c r="C133" i="21" s="1"/>
  <c r="A60" i="4" s="1"/>
  <c r="A177" i="21"/>
  <c r="A181" i="21"/>
  <c r="A153" i="21"/>
  <c r="A149" i="21"/>
  <c r="A148" i="21"/>
  <c r="A179" i="21"/>
  <c r="A142" i="21"/>
  <c r="A165" i="21"/>
  <c r="A162" i="21"/>
  <c r="A174" i="21"/>
  <c r="A175" i="21"/>
  <c r="A172" i="21"/>
  <c r="A183" i="21"/>
  <c r="A154" i="21"/>
  <c r="A184" i="21"/>
  <c r="A188" i="21"/>
  <c r="A178" i="21"/>
  <c r="A158" i="21"/>
  <c r="A157" i="21"/>
  <c r="A146" i="21"/>
  <c r="A147" i="21"/>
  <c r="A170" i="21"/>
  <c r="A143" i="21"/>
  <c r="A136" i="21"/>
  <c r="A152" i="21"/>
  <c r="A173" i="21"/>
  <c r="A161" i="21"/>
  <c r="A189" i="21"/>
  <c r="A193" i="21"/>
  <c r="A150" i="21"/>
  <c r="A166" i="21"/>
  <c r="A171" i="21"/>
  <c r="A167" i="21"/>
  <c r="A151" i="21"/>
  <c r="A185" i="21"/>
  <c r="A195" i="21"/>
  <c r="A180" i="21"/>
  <c r="A191" i="21"/>
  <c r="A140" i="21"/>
  <c r="A141" i="21"/>
  <c r="A190" i="21"/>
  <c r="A187" i="21"/>
  <c r="A145" i="21"/>
  <c r="A168" i="21"/>
  <c r="A182" i="21"/>
  <c r="A186" i="21"/>
  <c r="A137" i="21"/>
  <c r="A164" i="21"/>
  <c r="A138" i="21"/>
  <c r="A192" i="21"/>
  <c r="A163" i="21"/>
  <c r="A135" i="21"/>
  <c r="A155" i="21"/>
  <c r="A176" i="21"/>
  <c r="A194" i="21"/>
  <c r="A139" i="21"/>
  <c r="Q17" i="4" l="1"/>
  <c r="Q19" i="4"/>
  <c r="Q10" i="3"/>
  <c r="AD117" i="21" s="1"/>
  <c r="AD159" i="21" l="1"/>
  <c r="AD153" i="21"/>
  <c r="AD164" i="21"/>
  <c r="AD157" i="21"/>
  <c r="AD148" i="21"/>
  <c r="AD130" i="21"/>
  <c r="AD140" i="21"/>
  <c r="AD161" i="21"/>
  <c r="AD132" i="21"/>
  <c r="AD162" i="21"/>
  <c r="AD123" i="21"/>
  <c r="AD138" i="21"/>
  <c r="AD121" i="21"/>
  <c r="AD156" i="21"/>
  <c r="AD136" i="21"/>
  <c r="AD127" i="21"/>
  <c r="AD165" i="21"/>
  <c r="AD160" i="21"/>
  <c r="AD119" i="21"/>
  <c r="AE117" i="21" s="1"/>
  <c r="AF117" i="21" s="1"/>
  <c r="A30" i="3" s="1"/>
  <c r="AD135" i="21"/>
  <c r="AD154" i="21"/>
  <c r="AD150" i="21"/>
  <c r="AD143" i="21"/>
  <c r="AD151" i="21"/>
  <c r="AD139" i="21"/>
  <c r="AD134" i="21"/>
  <c r="AD155" i="21"/>
  <c r="AD137" i="21"/>
  <c r="AD141" i="21"/>
  <c r="AD145" i="21"/>
  <c r="AD133" i="21"/>
  <c r="AD166" i="21"/>
  <c r="AD129" i="21"/>
  <c r="AD131" i="21"/>
  <c r="AD122" i="21"/>
  <c r="AD120" i="21"/>
  <c r="AD163" i="21"/>
  <c r="AD126" i="21"/>
  <c r="AD152" i="21"/>
  <c r="AD125" i="21"/>
  <c r="AD128" i="21"/>
  <c r="AD124" i="21"/>
  <c r="AD149" i="21"/>
  <c r="AD146" i="21"/>
  <c r="AD142" i="21"/>
  <c r="AD158" i="21"/>
  <c r="AD144" i="21"/>
  <c r="AD167" i="21"/>
  <c r="AD147" i="21"/>
  <c r="F165" i="21" l="1"/>
  <c r="T4" i="3"/>
  <c r="U4" i="3"/>
  <c r="D8" i="14"/>
  <c r="T8" i="3"/>
  <c r="U2" i="3"/>
  <c r="T6" i="3"/>
  <c r="T2" i="3"/>
  <c r="X4" i="3"/>
  <c r="X2" i="3"/>
  <c r="V4" i="3"/>
  <c r="V6" i="3" s="1"/>
  <c r="A4" i="14" s="1"/>
  <c r="V2" i="3"/>
  <c r="Q16" i="3"/>
  <c r="Q14" i="3"/>
  <c r="W2" i="3" l="1"/>
  <c r="A24" i="11"/>
  <c r="A4" i="17"/>
  <c r="E6" i="17" s="1"/>
  <c r="A26" i="11"/>
  <c r="G2" i="11" s="1"/>
  <c r="E2" i="17" s="1"/>
  <c r="E4" i="17" s="1"/>
  <c r="E8" i="17" s="1"/>
  <c r="A6" i="17"/>
  <c r="D3" i="15"/>
  <c r="E198" i="21" s="1"/>
  <c r="D2" i="15"/>
  <c r="D5" i="15" s="1"/>
  <c r="I198" i="21" s="1"/>
  <c r="D9" i="15"/>
  <c r="A343" i="21" s="1"/>
  <c r="W4" i="3"/>
  <c r="W6" i="3" s="1"/>
  <c r="U6" i="3"/>
  <c r="A2" i="14" s="1"/>
  <c r="A8" i="17"/>
  <c r="A8" i="11"/>
  <c r="D2" i="11" s="1"/>
  <c r="E9" i="18"/>
  <c r="X6" i="3"/>
  <c r="A10" i="12"/>
  <c r="J4" i="12" s="1"/>
  <c r="C2" i="12" s="1"/>
  <c r="C3" i="12" s="1"/>
  <c r="G2" i="12" s="1"/>
  <c r="A2" i="11" s="1"/>
  <c r="F167" i="21"/>
  <c r="G165" i="21" s="1"/>
  <c r="H165" i="21" s="1"/>
  <c r="I165" i="21" s="1"/>
  <c r="K167" i="21"/>
  <c r="F168" i="21"/>
  <c r="K168" i="21"/>
  <c r="F171" i="21"/>
  <c r="F172" i="21"/>
  <c r="K169" i="21"/>
  <c r="F169" i="21"/>
  <c r="K170" i="21"/>
  <c r="K173" i="21"/>
  <c r="F170" i="21"/>
  <c r="K172" i="21"/>
  <c r="K165" i="21"/>
  <c r="F174" i="21"/>
  <c r="K171" i="21"/>
  <c r="F173" i="21"/>
  <c r="I216" i="21" l="1"/>
  <c r="I215" i="21"/>
  <c r="I226" i="21"/>
  <c r="I227" i="21"/>
  <c r="I237" i="21"/>
  <c r="I251" i="21"/>
  <c r="I247" i="21"/>
  <c r="I245" i="21"/>
  <c r="I263" i="21"/>
  <c r="I267" i="21"/>
  <c r="I306" i="21"/>
  <c r="I285" i="21"/>
  <c r="I281" i="21"/>
  <c r="I307" i="21"/>
  <c r="I305" i="21"/>
  <c r="I312" i="21"/>
  <c r="I303" i="21"/>
  <c r="I204" i="21"/>
  <c r="I212" i="21"/>
  <c r="I211" i="21"/>
  <c r="I228" i="21"/>
  <c r="I232" i="21"/>
  <c r="I235" i="21"/>
  <c r="I243" i="21"/>
  <c r="I249" i="21"/>
  <c r="I276" i="21"/>
  <c r="I294" i="21"/>
  <c r="I277" i="21"/>
  <c r="I291" i="21"/>
  <c r="I326" i="21"/>
  <c r="I328" i="21"/>
  <c r="I302" i="21"/>
  <c r="I315" i="21"/>
  <c r="I338" i="21"/>
  <c r="I335" i="21"/>
  <c r="I233" i="21"/>
  <c r="I337" i="21"/>
  <c r="I208" i="21"/>
  <c r="I258" i="21"/>
  <c r="I234" i="21"/>
  <c r="I213" i="21"/>
  <c r="I203" i="21"/>
  <c r="I223" i="21"/>
  <c r="I221" i="21"/>
  <c r="I256" i="21"/>
  <c r="I260" i="21"/>
  <c r="I257" i="21"/>
  <c r="I265" i="21"/>
  <c r="I272" i="21"/>
  <c r="I278" i="21"/>
  <c r="I290" i="21"/>
  <c r="I334" i="21"/>
  <c r="I308" i="21"/>
  <c r="I320" i="21"/>
  <c r="I323" i="21"/>
  <c r="I330" i="21"/>
  <c r="I313" i="21"/>
  <c r="I209" i="21"/>
  <c r="I225" i="21"/>
  <c r="I274" i="21"/>
  <c r="I288" i="21"/>
  <c r="I297" i="21"/>
  <c r="I316" i="21"/>
  <c r="I331" i="21"/>
  <c r="I218" i="21"/>
  <c r="I231" i="21"/>
  <c r="I241" i="21"/>
  <c r="I280" i="21"/>
  <c r="I282" i="21"/>
  <c r="I333" i="21"/>
  <c r="I329" i="21"/>
  <c r="I206" i="21"/>
  <c r="I248" i="21"/>
  <c r="I253" i="21"/>
  <c r="I242" i="21"/>
  <c r="I273" i="21"/>
  <c r="I284" i="21"/>
  <c r="I321" i="21"/>
  <c r="I210" i="21"/>
  <c r="I219" i="21"/>
  <c r="I217" i="21"/>
  <c r="I229" i="21"/>
  <c r="I222" i="21"/>
  <c r="I239" i="21"/>
  <c r="I255" i="21"/>
  <c r="I268" i="21"/>
  <c r="I261" i="21"/>
  <c r="I286" i="21"/>
  <c r="I264" i="21"/>
  <c r="I300" i="21"/>
  <c r="I336" i="21"/>
  <c r="I289" i="21"/>
  <c r="I327" i="21"/>
  <c r="I310" i="21"/>
  <c r="I324" i="21"/>
  <c r="I325" i="21"/>
  <c r="I207" i="21"/>
  <c r="I214" i="21"/>
  <c r="I238" i="21"/>
  <c r="I250" i="21"/>
  <c r="I279" i="21"/>
  <c r="I275" i="21"/>
  <c r="I287" i="21"/>
  <c r="I339" i="21"/>
  <c r="I332" i="21"/>
  <c r="I205" i="21"/>
  <c r="I224" i="21"/>
  <c r="I244" i="21"/>
  <c r="I295" i="21"/>
  <c r="I283" i="21"/>
  <c r="I317" i="21"/>
  <c r="I340" i="21"/>
  <c r="I220" i="21"/>
  <c r="I236" i="21"/>
  <c r="I254" i="21"/>
  <c r="I266" i="21"/>
  <c r="I296" i="21"/>
  <c r="I299" i="21"/>
  <c r="I298" i="21"/>
  <c r="I202" i="21"/>
  <c r="I200" i="21"/>
  <c r="I201" i="21"/>
  <c r="I246" i="21"/>
  <c r="I240" i="21"/>
  <c r="I230" i="21"/>
  <c r="I259" i="21"/>
  <c r="I252" i="21"/>
  <c r="I271" i="21"/>
  <c r="I269" i="21"/>
  <c r="I262" i="21"/>
  <c r="I293" i="21"/>
  <c r="I314" i="21"/>
  <c r="I292" i="21"/>
  <c r="I322" i="21"/>
  <c r="I311" i="21"/>
  <c r="I309" i="21"/>
  <c r="I318" i="21"/>
  <c r="I270" i="21"/>
  <c r="I301" i="21"/>
  <c r="I319" i="21"/>
  <c r="I304" i="21"/>
  <c r="E217" i="21"/>
  <c r="E202" i="21"/>
  <c r="E211" i="21"/>
  <c r="E236" i="21"/>
  <c r="E237" i="21"/>
  <c r="E233" i="21"/>
  <c r="E268" i="21"/>
  <c r="E245" i="21"/>
  <c r="E252" i="21"/>
  <c r="E269" i="21"/>
  <c r="E264" i="21"/>
  <c r="E308" i="21"/>
  <c r="E328" i="21"/>
  <c r="E295" i="21"/>
  <c r="E315" i="21"/>
  <c r="E327" i="21"/>
  <c r="E304" i="21"/>
  <c r="E313" i="21"/>
  <c r="E249" i="21"/>
  <c r="E262" i="21"/>
  <c r="E271" i="21"/>
  <c r="E219" i="21"/>
  <c r="E207" i="21"/>
  <c r="E204" i="21"/>
  <c r="E230" i="21"/>
  <c r="E254" i="21"/>
  <c r="E248" i="21"/>
  <c r="E257" i="21"/>
  <c r="E266" i="21"/>
  <c r="E279" i="21"/>
  <c r="E294" i="21"/>
  <c r="E263" i="21"/>
  <c r="E293" i="21"/>
  <c r="E281" i="21"/>
  <c r="E287" i="21"/>
  <c r="E335" i="21"/>
  <c r="E339" i="21"/>
  <c r="E324" i="21"/>
  <c r="E340" i="21"/>
  <c r="E247" i="21"/>
  <c r="E277" i="21"/>
  <c r="E299" i="21"/>
  <c r="E291" i="21"/>
  <c r="E338" i="21"/>
  <c r="E320" i="21"/>
  <c r="E322" i="21"/>
  <c r="E323" i="21"/>
  <c r="E225" i="21"/>
  <c r="E276" i="21"/>
  <c r="E261" i="21"/>
  <c r="E311" i="21"/>
  <c r="E307" i="21"/>
  <c r="E212" i="21"/>
  <c r="E246" i="21"/>
  <c r="E255" i="21"/>
  <c r="E278" i="21"/>
  <c r="E316" i="21"/>
  <c r="E318" i="21"/>
  <c r="E220" i="21"/>
  <c r="E216" i="21"/>
  <c r="E210" i="21"/>
  <c r="E223" i="21"/>
  <c r="E239" i="21"/>
  <c r="E235" i="21"/>
  <c r="E314" i="21"/>
  <c r="E301" i="21"/>
  <c r="E214" i="21"/>
  <c r="E218" i="21"/>
  <c r="E200" i="21"/>
  <c r="E224" i="21"/>
  <c r="E240" i="21"/>
  <c r="E227" i="21"/>
  <c r="E250" i="21"/>
  <c r="E259" i="21"/>
  <c r="E275" i="21"/>
  <c r="E267" i="21"/>
  <c r="E265" i="21"/>
  <c r="E289" i="21"/>
  <c r="E334" i="21"/>
  <c r="E326" i="21"/>
  <c r="E302" i="21"/>
  <c r="E310" i="21"/>
  <c r="E319" i="21"/>
  <c r="E333" i="21"/>
  <c r="E297" i="21"/>
  <c r="E329" i="21"/>
  <c r="E312" i="21"/>
  <c r="E317" i="21"/>
  <c r="E201" i="21"/>
  <c r="E226" i="21"/>
  <c r="E256" i="21"/>
  <c r="E241" i="21"/>
  <c r="E296" i="21"/>
  <c r="E298" i="21"/>
  <c r="E309" i="21"/>
  <c r="E213" i="21"/>
  <c r="E260" i="21"/>
  <c r="E273" i="21"/>
  <c r="E292" i="21"/>
  <c r="E331" i="21"/>
  <c r="E208" i="21"/>
  <c r="E209" i="21"/>
  <c r="E203" i="21"/>
  <c r="E222" i="21"/>
  <c r="E229" i="21"/>
  <c r="E232" i="21"/>
  <c r="E244" i="21"/>
  <c r="E243" i="21"/>
  <c r="E280" i="21"/>
  <c r="E288" i="21"/>
  <c r="E286" i="21"/>
  <c r="E284" i="21"/>
  <c r="E282" i="21"/>
  <c r="E325" i="21"/>
  <c r="E336" i="21"/>
  <c r="E221" i="21"/>
  <c r="E321" i="21"/>
  <c r="E205" i="21"/>
  <c r="E206" i="21"/>
  <c r="E234" i="21"/>
  <c r="E238" i="21"/>
  <c r="E231" i="21"/>
  <c r="E251" i="21"/>
  <c r="E274" i="21"/>
  <c r="E253" i="21"/>
  <c r="E272" i="21"/>
  <c r="E270" i="21"/>
  <c r="E285" i="21"/>
  <c r="E306" i="21"/>
  <c r="E300" i="21"/>
  <c r="E303" i="21"/>
  <c r="E332" i="21"/>
  <c r="E337" i="21"/>
  <c r="E330" i="21"/>
  <c r="E215" i="21"/>
  <c r="E258" i="21"/>
  <c r="E283" i="21"/>
  <c r="E305" i="21"/>
  <c r="E228" i="21"/>
  <c r="E242" i="21"/>
  <c r="E290" i="21"/>
  <c r="R4" i="11"/>
  <c r="J9" i="11" s="1"/>
  <c r="M2" i="11" s="1"/>
  <c r="M4" i="11" s="1"/>
  <c r="M6" i="11" s="1"/>
  <c r="N117" i="21" s="1"/>
  <c r="A8" i="14"/>
  <c r="D6" i="11"/>
  <c r="D4" i="11"/>
  <c r="G13" i="11" s="1"/>
  <c r="P2" i="11" s="1"/>
  <c r="O2" i="17"/>
  <c r="H12" i="17"/>
  <c r="H11" i="17"/>
  <c r="Q343" i="21" s="1"/>
  <c r="A6" i="14"/>
  <c r="D6" i="14" s="1"/>
  <c r="D4" i="14"/>
  <c r="G4" i="11"/>
  <c r="G6" i="11" s="1"/>
  <c r="G7" i="11" s="1"/>
  <c r="G9" i="11" s="1"/>
  <c r="G11" i="11" s="1"/>
  <c r="L165" i="21"/>
  <c r="M165" i="21" s="1"/>
  <c r="N165" i="21" s="1"/>
  <c r="F177" i="21" s="1"/>
  <c r="G177" i="21" s="1"/>
  <c r="H177" i="21" s="1"/>
  <c r="A24" i="15" s="1"/>
  <c r="A34" i="3"/>
  <c r="Q12" i="3" s="1"/>
  <c r="R16" i="3" s="1"/>
  <c r="T12" i="3"/>
  <c r="A345" i="21"/>
  <c r="A365" i="21"/>
  <c r="A354" i="21"/>
  <c r="A368" i="21"/>
  <c r="A383" i="21"/>
  <c r="A367" i="21"/>
  <c r="A353" i="21"/>
  <c r="A411" i="21"/>
  <c r="A420" i="21"/>
  <c r="A419" i="21"/>
  <c r="A403" i="21"/>
  <c r="A457" i="21"/>
  <c r="A387" i="21"/>
  <c r="A458" i="21"/>
  <c r="A445" i="21"/>
  <c r="A436" i="21"/>
  <c r="A460" i="21"/>
  <c r="A459" i="21"/>
  <c r="A473" i="21"/>
  <c r="A476" i="21"/>
  <c r="A467" i="21"/>
  <c r="A529" i="21"/>
  <c r="A518" i="21"/>
  <c r="A582" i="21"/>
  <c r="A623" i="21"/>
  <c r="A541" i="21"/>
  <c r="A505" i="21"/>
  <c r="A515" i="21"/>
  <c r="A562" i="21"/>
  <c r="A590" i="21"/>
  <c r="A622" i="21"/>
  <c r="A547" i="21"/>
  <c r="A581" i="21"/>
  <c r="A585" i="21"/>
  <c r="A361" i="21"/>
  <c r="A352" i="21"/>
  <c r="A374" i="21"/>
  <c r="A350" i="21"/>
  <c r="A391" i="21"/>
  <c r="A372" i="21"/>
  <c r="A375" i="21"/>
  <c r="A395" i="21"/>
  <c r="A421" i="21"/>
  <c r="A449" i="21"/>
  <c r="A430" i="21"/>
  <c r="A471" i="21"/>
  <c r="A385" i="21"/>
  <c r="A490" i="21"/>
  <c r="A432" i="21"/>
  <c r="A497" i="21"/>
  <c r="A470" i="21"/>
  <c r="A425" i="21"/>
  <c r="A499" i="21"/>
  <c r="A475" i="21"/>
  <c r="A504" i="21"/>
  <c r="A510" i="21"/>
  <c r="A484" i="21"/>
  <c r="A509" i="21"/>
  <c r="A568" i="21"/>
  <c r="A559" i="21"/>
  <c r="A544" i="21"/>
  <c r="A540" i="21"/>
  <c r="A552" i="21"/>
  <c r="A599" i="21"/>
  <c r="A594" i="21"/>
  <c r="A565" i="21"/>
  <c r="A603" i="21"/>
  <c r="A624" i="21"/>
  <c r="A592" i="21"/>
  <c r="A377" i="21"/>
  <c r="A359" i="21"/>
  <c r="A415" i="21"/>
  <c r="A351" i="21"/>
  <c r="A408" i="21"/>
  <c r="A357" i="21"/>
  <c r="A356" i="21"/>
  <c r="A396" i="21"/>
  <c r="A456" i="21"/>
  <c r="A455" i="21"/>
  <c r="A386" i="21"/>
  <c r="A424" i="21"/>
  <c r="A511" i="21"/>
  <c r="A496" i="21"/>
  <c r="A489" i="21"/>
  <c r="A429" i="21"/>
  <c r="A433" i="21"/>
  <c r="A543" i="21"/>
  <c r="A537" i="21"/>
  <c r="A481" i="21"/>
  <c r="A520" i="21"/>
  <c r="A491" i="21"/>
  <c r="A492" i="21"/>
  <c r="A533" i="21"/>
  <c r="A591" i="21"/>
  <c r="A560" i="21"/>
  <c r="A523" i="21"/>
  <c r="A506" i="21"/>
  <c r="A572" i="21"/>
  <c r="A598" i="21"/>
  <c r="A548" i="21"/>
  <c r="A600" i="21"/>
  <c r="A619" i="21"/>
  <c r="A611" i="21"/>
  <c r="A587" i="21"/>
  <c r="A382" i="21"/>
  <c r="A444" i="21"/>
  <c r="A453" i="21"/>
  <c r="A465" i="21"/>
  <c r="A519" i="21"/>
  <c r="A550" i="21"/>
  <c r="A610" i="21"/>
  <c r="A360" i="21"/>
  <c r="A348" i="21"/>
  <c r="A366" i="21"/>
  <c r="A362" i="21"/>
  <c r="A358" i="21"/>
  <c r="A369" i="21"/>
  <c r="A378" i="21"/>
  <c r="A404" i="21"/>
  <c r="A448" i="21"/>
  <c r="A447" i="21"/>
  <c r="A418" i="21"/>
  <c r="A405" i="21"/>
  <c r="A486" i="21"/>
  <c r="A428" i="21"/>
  <c r="A462" i="21"/>
  <c r="A479" i="21"/>
  <c r="A487" i="21"/>
  <c r="A483" i="21"/>
  <c r="A527" i="21"/>
  <c r="A535" i="21"/>
  <c r="A583" i="21"/>
  <c r="A472" i="21"/>
  <c r="A575" i="21"/>
  <c r="A531" i="21"/>
  <c r="A524" i="21"/>
  <c r="A567" i="21"/>
  <c r="A570" i="21"/>
  <c r="A615" i="21"/>
  <c r="A608" i="21"/>
  <c r="A574" i="21"/>
  <c r="A616" i="21"/>
  <c r="A564" i="21"/>
  <c r="A601" i="21"/>
  <c r="A602" i="21"/>
  <c r="A604" i="21"/>
  <c r="A589" i="21"/>
  <c r="A364" i="21"/>
  <c r="A478" i="21"/>
  <c r="A501" i="21"/>
  <c r="A569" i="21"/>
  <c r="A522" i="21"/>
  <c r="A553" i="21"/>
  <c r="A609" i="21"/>
  <c r="A613" i="21"/>
  <c r="A596" i="21"/>
  <c r="A398" i="21"/>
  <c r="A463" i="21"/>
  <c r="A347" i="21"/>
  <c r="A349" i="21"/>
  <c r="A370" i="21"/>
  <c r="A355" i="21"/>
  <c r="A417" i="21"/>
  <c r="A440" i="21"/>
  <c r="A401" i="21"/>
  <c r="A413" i="21"/>
  <c r="A393" i="21"/>
  <c r="A389" i="21"/>
  <c r="A488" i="21"/>
  <c r="A502" i="21"/>
  <c r="A435" i="21"/>
  <c r="A464" i="21"/>
  <c r="A427" i="21"/>
  <c r="A494" i="21"/>
  <c r="A500" i="21"/>
  <c r="A514" i="21"/>
  <c r="A482" i="21"/>
  <c r="A530" i="21"/>
  <c r="A557" i="21"/>
  <c r="A534" i="21"/>
  <c r="A532" i="21"/>
  <c r="A507" i="21"/>
  <c r="A539" i="21"/>
  <c r="A549" i="21"/>
  <c r="A546" i="21"/>
  <c r="A561" i="21"/>
  <c r="A563" i="21"/>
  <c r="A571" i="21"/>
  <c r="A612" i="21"/>
  <c r="A588" i="21"/>
  <c r="A593" i="21"/>
  <c r="A381" i="21"/>
  <c r="A443" i="21"/>
  <c r="A466" i="21"/>
  <c r="A517" i="21"/>
  <c r="A577" i="21"/>
  <c r="A597" i="21"/>
  <c r="A606" i="21"/>
  <c r="A595" i="21"/>
  <c r="A625" i="21"/>
  <c r="A384" i="21"/>
  <c r="A346" i="21"/>
  <c r="A423" i="21"/>
  <c r="A409" i="21"/>
  <c r="A376" i="21"/>
  <c r="A371" i="21"/>
  <c r="A416" i="21"/>
  <c r="A422" i="21"/>
  <c r="A406" i="21"/>
  <c r="A412" i="21"/>
  <c r="A503" i="21"/>
  <c r="A450" i="21"/>
  <c r="A495" i="21"/>
  <c r="A441" i="21"/>
  <c r="A442" i="21"/>
  <c r="A426" i="21"/>
  <c r="A451" i="21"/>
  <c r="A551" i="21"/>
  <c r="A493" i="21"/>
  <c r="A498" i="21"/>
  <c r="A536" i="21"/>
  <c r="A485" i="21"/>
  <c r="A538" i="21"/>
  <c r="A516" i="21"/>
  <c r="A554" i="21"/>
  <c r="A512" i="21"/>
  <c r="A513" i="21"/>
  <c r="A556" i="21"/>
  <c r="A573" i="21"/>
  <c r="A580" i="21"/>
  <c r="A584" i="21"/>
  <c r="A578" i="21"/>
  <c r="A586" i="21"/>
  <c r="A605" i="21"/>
  <c r="A407" i="21"/>
  <c r="A363" i="21"/>
  <c r="A373" i="21"/>
  <c r="A380" i="21"/>
  <c r="A397" i="21"/>
  <c r="A400" i="21"/>
  <c r="A437" i="21"/>
  <c r="A439" i="21"/>
  <c r="A390" i="21"/>
  <c r="A402" i="21"/>
  <c r="A434" i="21"/>
  <c r="A414" i="21"/>
  <c r="A461" i="21"/>
  <c r="A452" i="21"/>
  <c r="A454" i="21"/>
  <c r="A480" i="21"/>
  <c r="A477" i="21"/>
  <c r="A526" i="21"/>
  <c r="A542" i="21"/>
  <c r="A528" i="21"/>
  <c r="A469" i="21"/>
  <c r="A468" i="21"/>
  <c r="A508" i="21"/>
  <c r="A558" i="21"/>
  <c r="A566" i="21"/>
  <c r="A525" i="21"/>
  <c r="A576" i="21"/>
  <c r="A555" i="21"/>
  <c r="A617" i="21"/>
  <c r="A579" i="21"/>
  <c r="A545" i="21"/>
  <c r="A607" i="21"/>
  <c r="A614" i="21"/>
  <c r="A620" i="21"/>
  <c r="A618" i="21"/>
  <c r="A379" i="21"/>
  <c r="A399" i="21"/>
  <c r="A394" i="21"/>
  <c r="A388" i="21"/>
  <c r="A392" i="21"/>
  <c r="A431" i="21"/>
  <c r="A410" i="21"/>
  <c r="A438" i="21"/>
  <c r="A446" i="21"/>
  <c r="A474" i="21"/>
  <c r="A521" i="21"/>
  <c r="A621" i="21"/>
  <c r="H11" i="15" l="1"/>
  <c r="A40" i="17" s="1"/>
  <c r="L14" i="17" s="1"/>
  <c r="D50" i="17" s="1"/>
  <c r="A50" i="17" s="1"/>
  <c r="H9" i="15"/>
  <c r="H15" i="15"/>
  <c r="P4" i="11"/>
  <c r="R2" i="11" s="1"/>
  <c r="G15" i="11" s="1"/>
  <c r="A36" i="11" s="1"/>
  <c r="G17" i="11"/>
  <c r="G18" i="11" s="1"/>
  <c r="B343" i="21"/>
  <c r="C343" i="21" s="1"/>
  <c r="A12" i="15" s="1"/>
  <c r="Q488" i="21"/>
  <c r="Q482" i="21"/>
  <c r="Q476" i="21"/>
  <c r="Q422" i="21"/>
  <c r="Q612" i="21"/>
  <c r="Q461" i="21"/>
  <c r="Q496" i="21"/>
  <c r="Q490" i="21"/>
  <c r="Q484" i="21"/>
  <c r="Q430" i="21"/>
  <c r="Q457" i="21"/>
  <c r="Q492" i="21"/>
  <c r="Q504" i="21"/>
  <c r="Q401" i="21"/>
  <c r="Q355" i="21"/>
  <c r="Q567" i="21"/>
  <c r="Q605" i="21"/>
  <c r="Q352" i="21"/>
  <c r="Q409" i="21"/>
  <c r="Q363" i="21"/>
  <c r="Q349" i="21"/>
  <c r="Q606" i="21"/>
  <c r="Q433" i="21"/>
  <c r="Q373" i="21"/>
  <c r="Q611" i="21"/>
  <c r="Q353" i="21"/>
  <c r="Q367" i="21"/>
  <c r="Q359" i="21"/>
  <c r="Q526" i="21"/>
  <c r="Q625" i="21"/>
  <c r="Q468" i="21"/>
  <c r="Q527" i="21"/>
  <c r="Q607" i="21"/>
  <c r="Q597" i="21"/>
  <c r="Q565" i="21"/>
  <c r="Q614" i="21"/>
  <c r="Q408" i="21"/>
  <c r="Q396" i="21"/>
  <c r="Q552" i="21"/>
  <c r="Q546" i="21"/>
  <c r="Q540" i="21"/>
  <c r="Q486" i="21"/>
  <c r="Q391" i="21"/>
  <c r="Q415" i="21"/>
  <c r="Q568" i="21"/>
  <c r="Q558" i="21"/>
  <c r="Q548" i="21"/>
  <c r="Q494" i="21"/>
  <c r="Q521" i="21"/>
  <c r="Q519" i="21"/>
  <c r="Q589" i="21"/>
  <c r="Q465" i="21"/>
  <c r="Q419" i="21"/>
  <c r="Q405" i="21"/>
  <c r="Q616" i="21"/>
  <c r="Q410" i="21"/>
  <c r="Q473" i="21"/>
  <c r="Q427" i="21"/>
  <c r="Q413" i="21"/>
  <c r="Q624" i="21"/>
  <c r="Q497" i="21"/>
  <c r="Q437" i="21"/>
  <c r="Q438" i="21"/>
  <c r="Q417" i="21"/>
  <c r="Q371" i="21"/>
  <c r="Q357" i="21"/>
  <c r="Q603" i="21"/>
  <c r="Q439" i="21"/>
  <c r="Q402" i="21"/>
  <c r="Q583" i="21"/>
  <c r="Q377" i="21"/>
  <c r="Q495" i="21"/>
  <c r="Q471" i="21"/>
  <c r="Q550" i="21"/>
  <c r="Q574" i="21"/>
  <c r="Q502" i="21"/>
  <c r="Q385" i="21"/>
  <c r="Q551" i="21"/>
  <c r="Q511" i="21"/>
  <c r="Q566" i="21"/>
  <c r="Q370" i="21"/>
  <c r="Q525" i="21"/>
  <c r="Q393" i="21"/>
  <c r="Q529" i="21"/>
  <c r="Q483" i="21"/>
  <c r="Q469" i="21"/>
  <c r="Q601" i="21"/>
  <c r="Q387" i="21"/>
  <c r="Q537" i="21"/>
  <c r="Q491" i="21"/>
  <c r="Q477" i="21"/>
  <c r="Q609" i="21"/>
  <c r="Q346" i="21"/>
  <c r="Q581" i="21"/>
  <c r="Q578" i="21"/>
  <c r="Q481" i="21"/>
  <c r="Q435" i="21"/>
  <c r="Q421" i="21"/>
  <c r="Q553" i="21"/>
  <c r="Q596" i="21"/>
  <c r="Q501" i="21"/>
  <c r="Q472" i="21"/>
  <c r="Q466" i="21"/>
  <c r="Q460" i="21"/>
  <c r="Q406" i="21"/>
  <c r="Q441" i="21"/>
  <c r="Q395" i="21"/>
  <c r="Q381" i="21"/>
  <c r="Q592" i="21"/>
  <c r="Q411" i="21"/>
  <c r="Q608" i="21"/>
  <c r="Q449" i="21"/>
  <c r="Q403" i="21"/>
  <c r="Q389" i="21"/>
  <c r="Q600" i="21"/>
  <c r="Q434" i="21"/>
  <c r="Q374" i="21"/>
  <c r="Q423" i="21"/>
  <c r="Q431" i="21"/>
  <c r="Q547" i="21"/>
  <c r="Q533" i="21"/>
  <c r="Q586" i="21"/>
  <c r="Q447" i="21"/>
  <c r="Q479" i="21"/>
  <c r="Q559" i="21"/>
  <c r="Q541" i="21"/>
  <c r="Q594" i="21"/>
  <c r="Q474" i="21"/>
  <c r="Q414" i="21"/>
  <c r="Q564" i="21"/>
  <c r="Q545" i="21"/>
  <c r="Q499" i="21"/>
  <c r="Q485" i="21"/>
  <c r="Q617" i="21"/>
  <c r="Q480" i="21"/>
  <c r="Q350" i="21"/>
  <c r="Q536" i="21"/>
  <c r="Q530" i="21"/>
  <c r="Q524" i="21"/>
  <c r="Q470" i="21"/>
  <c r="Q443" i="21"/>
  <c r="Q505" i="21"/>
  <c r="Q459" i="21"/>
  <c r="Q445" i="21"/>
  <c r="Q577" i="21"/>
  <c r="Q539" i="21"/>
  <c r="Q571" i="21"/>
  <c r="Q513" i="21"/>
  <c r="Q467" i="21"/>
  <c r="Q453" i="21"/>
  <c r="Q585" i="21"/>
  <c r="Q498" i="21"/>
  <c r="Q582" i="21"/>
  <c r="Q384" i="21"/>
  <c r="Q378" i="21"/>
  <c r="Q372" i="21"/>
  <c r="Q463" i="21"/>
  <c r="Q579" i="21"/>
  <c r="Q392" i="21"/>
  <c r="Q386" i="21"/>
  <c r="Q380" i="21"/>
  <c r="Q503" i="21"/>
  <c r="Q580" i="21"/>
  <c r="Q455" i="21"/>
  <c r="Q478" i="21"/>
  <c r="Q487" i="21"/>
  <c r="Q543" i="21"/>
  <c r="Q575" i="21"/>
  <c r="Q549" i="21"/>
  <c r="Q602" i="21"/>
  <c r="Q573" i="21"/>
  <c r="Q542" i="21"/>
  <c r="Q361" i="21"/>
  <c r="Q407" i="21"/>
  <c r="Q399" i="21"/>
  <c r="Q534" i="21"/>
  <c r="Q388" i="21"/>
  <c r="Q554" i="21"/>
  <c r="Q379" i="21"/>
  <c r="Q622" i="21"/>
  <c r="Q620" i="21"/>
  <c r="Q590" i="21"/>
  <c r="Q523" i="21"/>
  <c r="Q509" i="21"/>
  <c r="Q562" i="21"/>
  <c r="Q428" i="21"/>
  <c r="Q351" i="21"/>
  <c r="Q615" i="21"/>
  <c r="Q531" i="21"/>
  <c r="Q517" i="21"/>
  <c r="Q570" i="21"/>
  <c r="Q347" i="21"/>
  <c r="Q383" i="21"/>
  <c r="Q448" i="21"/>
  <c r="Q442" i="21"/>
  <c r="Q436" i="21"/>
  <c r="Q382" i="21"/>
  <c r="Q572" i="21"/>
  <c r="Q456" i="21"/>
  <c r="Q450" i="21"/>
  <c r="Q444" i="21"/>
  <c r="Q390" i="21"/>
  <c r="Q416" i="21"/>
  <c r="Q515" i="21"/>
  <c r="Q584" i="21"/>
  <c r="Q400" i="21"/>
  <c r="Q394" i="21"/>
  <c r="Q535" i="21"/>
  <c r="Q595" i="21"/>
  <c r="Q538" i="21"/>
  <c r="Q425" i="21"/>
  <c r="Q365" i="21"/>
  <c r="Q360" i="21"/>
  <c r="Q354" i="21"/>
  <c r="Q348" i="21"/>
  <c r="Q599" i="21"/>
  <c r="Q555" i="21"/>
  <c r="Q560" i="21"/>
  <c r="Q368" i="21"/>
  <c r="Q362" i="21"/>
  <c r="Q356" i="21"/>
  <c r="Q375" i="21"/>
  <c r="Q563" i="21"/>
  <c r="Q475" i="21"/>
  <c r="Q376" i="21"/>
  <c r="Q512" i="21"/>
  <c r="Q506" i="21"/>
  <c r="Q500" i="21"/>
  <c r="Q446" i="21"/>
  <c r="Q587" i="21"/>
  <c r="Q520" i="21"/>
  <c r="Q514" i="21"/>
  <c r="Q508" i="21"/>
  <c r="Q454" i="21"/>
  <c r="Q544" i="21"/>
  <c r="Q404" i="21"/>
  <c r="Q569" i="21"/>
  <c r="Q464" i="21"/>
  <c r="Q458" i="21"/>
  <c r="Q452" i="21"/>
  <c r="Q398" i="21"/>
  <c r="Q588" i="21"/>
  <c r="Q451" i="21"/>
  <c r="Q604" i="21"/>
  <c r="Q489" i="21"/>
  <c r="Q429" i="21"/>
  <c r="Q424" i="21"/>
  <c r="Q418" i="21"/>
  <c r="Q412" i="21"/>
  <c r="Q358" i="21"/>
  <c r="Q619" i="21"/>
  <c r="Q397" i="21"/>
  <c r="Q432" i="21"/>
  <c r="Q426" i="21"/>
  <c r="Q420" i="21"/>
  <c r="Q366" i="21"/>
  <c r="Q556" i="21"/>
  <c r="Q364" i="21"/>
  <c r="Q440" i="21"/>
  <c r="Q613" i="21"/>
  <c r="Q591" i="21"/>
  <c r="Q576" i="21"/>
  <c r="Q510" i="21"/>
  <c r="Q610" i="21"/>
  <c r="Q345" i="21"/>
  <c r="Q621" i="21"/>
  <c r="Q598" i="21"/>
  <c r="Q518" i="21"/>
  <c r="Q369" i="21"/>
  <c r="Q532" i="21"/>
  <c r="Q618" i="21"/>
  <c r="Q528" i="21"/>
  <c r="Q522" i="21"/>
  <c r="Q516" i="21"/>
  <c r="Q462" i="21"/>
  <c r="Q561" i="21"/>
  <c r="Q623" i="21"/>
  <c r="Q593" i="21"/>
  <c r="Q557" i="21"/>
  <c r="Q507" i="21"/>
  <c r="Q493" i="21"/>
  <c r="N121" i="21"/>
  <c r="N158" i="21"/>
  <c r="N136" i="21"/>
  <c r="N129" i="21"/>
  <c r="N122" i="21"/>
  <c r="N144" i="21"/>
  <c r="N128" i="21"/>
  <c r="N161" i="21"/>
  <c r="N142" i="21"/>
  <c r="N148" i="21"/>
  <c r="N124" i="21"/>
  <c r="N154" i="21"/>
  <c r="N119" i="21"/>
  <c r="N139" i="21"/>
  <c r="N147" i="21"/>
  <c r="N137" i="21"/>
  <c r="N151" i="21"/>
  <c r="N152" i="21"/>
  <c r="N125" i="21"/>
  <c r="N123" i="21"/>
  <c r="N131" i="21"/>
  <c r="N132" i="21"/>
  <c r="N146" i="21"/>
  <c r="N150" i="21"/>
  <c r="N157" i="21"/>
  <c r="N156" i="21"/>
  <c r="N149" i="21"/>
  <c r="N133" i="21"/>
  <c r="N135" i="21"/>
  <c r="N153" i="21"/>
  <c r="N159" i="21"/>
  <c r="N134" i="21"/>
  <c r="N145" i="21"/>
  <c r="N127" i="21"/>
  <c r="N126" i="21"/>
  <c r="N143" i="21"/>
  <c r="N155" i="21"/>
  <c r="N141" i="21"/>
  <c r="N138" i="21"/>
  <c r="N120" i="21"/>
  <c r="N140" i="21"/>
  <c r="N160" i="21"/>
  <c r="N130" i="21"/>
  <c r="F198" i="21"/>
  <c r="G198" i="21" s="1"/>
  <c r="A2" i="15" s="1"/>
  <c r="A2" i="16" s="1"/>
  <c r="D2" i="16" s="1"/>
  <c r="D4" i="16" s="1"/>
  <c r="A56" i="17"/>
  <c r="O4" i="17"/>
  <c r="A60" i="17" s="1"/>
  <c r="J198" i="21"/>
  <c r="K198" i="21" s="1"/>
  <c r="A4" i="15" s="1"/>
  <c r="L2" i="17" l="1"/>
  <c r="L3" i="17" s="1"/>
  <c r="R2" i="17"/>
  <c r="R343" i="21"/>
  <c r="S343" i="21" s="1"/>
  <c r="A26" i="17" s="1"/>
  <c r="D11" i="15"/>
  <c r="E343" i="21" s="1"/>
  <c r="D17" i="15"/>
  <c r="M343" i="21" s="1"/>
  <c r="D19" i="15"/>
  <c r="O117" i="21"/>
  <c r="P117" i="21" s="1"/>
  <c r="A38" i="11" s="1"/>
  <c r="P98" i="21" l="1"/>
  <c r="H17" i="17"/>
  <c r="A628" i="21" s="1"/>
  <c r="E10" i="17"/>
  <c r="H9" i="17"/>
  <c r="AC54" i="21" s="1"/>
  <c r="D6" i="16"/>
  <c r="H3" i="16"/>
  <c r="H2" i="16"/>
  <c r="H2" i="17"/>
  <c r="AO28" i="21" s="1"/>
  <c r="H8" i="17"/>
  <c r="M597" i="21"/>
  <c r="M372" i="21"/>
  <c r="M490" i="21"/>
  <c r="M414" i="21"/>
  <c r="M495" i="21"/>
  <c r="M589" i="21"/>
  <c r="M364" i="21"/>
  <c r="M482" i="21"/>
  <c r="M358" i="21"/>
  <c r="M487" i="21"/>
  <c r="M517" i="21"/>
  <c r="M563" i="21"/>
  <c r="M410" i="21"/>
  <c r="M560" i="21"/>
  <c r="M415" i="21"/>
  <c r="M612" i="21"/>
  <c r="M363" i="21"/>
  <c r="M553" i="21"/>
  <c r="M360" i="21"/>
  <c r="M545" i="21"/>
  <c r="M373" i="21"/>
  <c r="M586" i="21"/>
  <c r="M557" i="21"/>
  <c r="M603" i="21"/>
  <c r="M450" i="21"/>
  <c r="M600" i="21"/>
  <c r="M455" i="21"/>
  <c r="M580" i="21"/>
  <c r="M614" i="21"/>
  <c r="M529" i="21"/>
  <c r="M582" i="21"/>
  <c r="M494" i="21"/>
  <c r="M572" i="21"/>
  <c r="M350" i="21"/>
  <c r="M470" i="21"/>
  <c r="M375" i="21"/>
  <c r="M554" i="21"/>
  <c r="M454" i="21"/>
  <c r="M400" i="21"/>
  <c r="M533" i="21"/>
  <c r="M579" i="21"/>
  <c r="M426" i="21"/>
  <c r="M576" i="21"/>
  <c r="M431" i="21"/>
  <c r="M525" i="21"/>
  <c r="M571" i="21"/>
  <c r="M418" i="21"/>
  <c r="M568" i="21"/>
  <c r="M423" i="21"/>
  <c r="M453" i="21"/>
  <c r="M499" i="21"/>
  <c r="M346" i="21"/>
  <c r="M496" i="21"/>
  <c r="M351" i="21"/>
  <c r="M540" i="21"/>
  <c r="M478" i="21"/>
  <c r="M489" i="21"/>
  <c r="M462" i="21"/>
  <c r="M544" i="21"/>
  <c r="M604" i="21"/>
  <c r="M458" i="21"/>
  <c r="M493" i="21"/>
  <c r="M539" i="21"/>
  <c r="M386" i="21"/>
  <c r="M536" i="21"/>
  <c r="M391" i="21"/>
  <c r="M516" i="21"/>
  <c r="M398" i="21"/>
  <c r="M465" i="21"/>
  <c r="M382" i="21"/>
  <c r="M456" i="21"/>
  <c r="M590" i="21"/>
  <c r="M444" i="21"/>
  <c r="M503" i="21"/>
  <c r="M385" i="21"/>
  <c r="M483" i="21"/>
  <c r="M519" i="21"/>
  <c r="M498" i="21"/>
  <c r="M469" i="21"/>
  <c r="M515" i="21"/>
  <c r="M362" i="21"/>
  <c r="M512" i="21"/>
  <c r="M367" i="21"/>
  <c r="M461" i="21"/>
  <c r="M507" i="21"/>
  <c r="M354" i="21"/>
  <c r="M504" i="21"/>
  <c r="M359" i="21"/>
  <c r="M389" i="21"/>
  <c r="M435" i="21"/>
  <c r="M625" i="21"/>
  <c r="M432" i="21"/>
  <c r="M522" i="21"/>
  <c r="M476" i="21"/>
  <c r="M594" i="21"/>
  <c r="M425" i="21"/>
  <c r="M599" i="21"/>
  <c r="M352" i="21"/>
  <c r="M532" i="21"/>
  <c r="M394" i="21"/>
  <c r="M429" i="21"/>
  <c r="M475" i="21"/>
  <c r="M574" i="21"/>
  <c r="M472" i="21"/>
  <c r="M366" i="21"/>
  <c r="M452" i="21"/>
  <c r="M570" i="21"/>
  <c r="M401" i="21"/>
  <c r="M575" i="21"/>
  <c r="M349" i="21"/>
  <c r="M521" i="21"/>
  <c r="M562" i="21"/>
  <c r="M541" i="21"/>
  <c r="M463" i="21"/>
  <c r="M551" i="21"/>
  <c r="M348" i="21"/>
  <c r="M474" i="21"/>
  <c r="M479" i="21"/>
  <c r="M617" i="21"/>
  <c r="M396" i="21"/>
  <c r="M357" i="21"/>
  <c r="M459" i="21"/>
  <c r="M405" i="21"/>
  <c r="M451" i="21"/>
  <c r="M446" i="21"/>
  <c r="M448" i="21"/>
  <c r="M611" i="21"/>
  <c r="M397" i="21"/>
  <c r="M443" i="21"/>
  <c r="M390" i="21"/>
  <c r="M440" i="21"/>
  <c r="M404" i="21"/>
  <c r="M620" i="21"/>
  <c r="M371" i="21"/>
  <c r="M561" i="21"/>
  <c r="M368" i="21"/>
  <c r="M438" i="21"/>
  <c r="M412" i="21"/>
  <c r="M530" i="21"/>
  <c r="M361" i="21"/>
  <c r="M535" i="21"/>
  <c r="M527" i="21"/>
  <c r="M468" i="21"/>
  <c r="M598" i="21"/>
  <c r="M365" i="21"/>
  <c r="M411" i="21"/>
  <c r="M601" i="21"/>
  <c r="M408" i="21"/>
  <c r="M613" i="21"/>
  <c r="M388" i="21"/>
  <c r="M506" i="21"/>
  <c r="M566" i="21"/>
  <c r="M511" i="21"/>
  <c r="M395" i="21"/>
  <c r="M550" i="21"/>
  <c r="M393" i="21"/>
  <c r="M584" i="21"/>
  <c r="M436" i="21"/>
  <c r="M621" i="21"/>
  <c r="M457" i="21"/>
  <c r="M588" i="21"/>
  <c r="M387" i="21"/>
  <c r="M577" i="21"/>
  <c r="M384" i="21"/>
  <c r="M481" i="21"/>
  <c r="M356" i="21"/>
  <c r="M379" i="21"/>
  <c r="M569" i="21"/>
  <c r="M376" i="21"/>
  <c r="M417" i="21"/>
  <c r="M548" i="21"/>
  <c r="M502" i="21"/>
  <c r="M497" i="21"/>
  <c r="M486" i="21"/>
  <c r="M573" i="21"/>
  <c r="M619" i="21"/>
  <c r="M466" i="21"/>
  <c r="M616" i="21"/>
  <c r="M471" i="21"/>
  <c r="M422" i="21"/>
  <c r="M547" i="21"/>
  <c r="M609" i="21"/>
  <c r="M596" i="21"/>
  <c r="M347" i="21"/>
  <c r="M537" i="21"/>
  <c r="M606" i="21"/>
  <c r="M549" i="21"/>
  <c r="M595" i="21"/>
  <c r="M442" i="21"/>
  <c r="M592" i="21"/>
  <c r="M447" i="21"/>
  <c r="M585" i="21"/>
  <c r="M567" i="21"/>
  <c r="M439" i="21"/>
  <c r="M477" i="21"/>
  <c r="M559" i="21"/>
  <c r="M424" i="21"/>
  <c r="M403" i="21"/>
  <c r="M564" i="21"/>
  <c r="M558" i="21"/>
  <c r="M513" i="21"/>
  <c r="M526" i="21"/>
  <c r="M608" i="21"/>
  <c r="M556" i="21"/>
  <c r="M534" i="21"/>
  <c r="M505" i="21"/>
  <c r="M510" i="21"/>
  <c r="M480" i="21"/>
  <c r="M484" i="21"/>
  <c r="M602" i="21"/>
  <c r="M433" i="21"/>
  <c r="M607" i="21"/>
  <c r="M509" i="21"/>
  <c r="M555" i="21"/>
  <c r="M402" i="21"/>
  <c r="M552" i="21"/>
  <c r="M407" i="21"/>
  <c r="M565" i="21"/>
  <c r="M419" i="21"/>
  <c r="M353" i="21"/>
  <c r="M524" i="21"/>
  <c r="M430" i="21"/>
  <c r="M473" i="21"/>
  <c r="M406" i="21"/>
  <c r="M485" i="21"/>
  <c r="M531" i="21"/>
  <c r="M378" i="21"/>
  <c r="M528" i="21"/>
  <c r="M383" i="21"/>
  <c r="M392" i="21"/>
  <c r="M508" i="21"/>
  <c r="M605" i="21"/>
  <c r="M523" i="21"/>
  <c r="M546" i="21"/>
  <c r="M381" i="21"/>
  <c r="M514" i="21"/>
  <c r="M434" i="21"/>
  <c r="M500" i="21"/>
  <c r="M618" i="21"/>
  <c r="M449" i="21"/>
  <c r="M623" i="21"/>
  <c r="M416" i="21"/>
  <c r="M492" i="21"/>
  <c r="M610" i="21"/>
  <c r="M441" i="21"/>
  <c r="M615" i="21"/>
  <c r="M399" i="21"/>
  <c r="M420" i="21"/>
  <c r="M538" i="21"/>
  <c r="M369" i="21"/>
  <c r="M543" i="21"/>
  <c r="M445" i="21"/>
  <c r="M491" i="21"/>
  <c r="M622" i="21"/>
  <c r="M488" i="21"/>
  <c r="M518" i="21"/>
  <c r="M501" i="21"/>
  <c r="M355" i="21"/>
  <c r="M591" i="21"/>
  <c r="M460" i="21"/>
  <c r="M578" i="21"/>
  <c r="M409" i="21"/>
  <c r="M583" i="21"/>
  <c r="M421" i="21"/>
  <c r="M467" i="21"/>
  <c r="M542" i="21"/>
  <c r="M464" i="21"/>
  <c r="M413" i="21"/>
  <c r="M587" i="21"/>
  <c r="M374" i="21"/>
  <c r="M380" i="21"/>
  <c r="M370" i="21"/>
  <c r="M428" i="21"/>
  <c r="M377" i="21"/>
  <c r="M581" i="21"/>
  <c r="M624" i="21"/>
  <c r="M427" i="21"/>
  <c r="M437" i="21"/>
  <c r="M345" i="21"/>
  <c r="N343" i="21" s="1"/>
  <c r="O343" i="21" s="1"/>
  <c r="A18" i="15" s="1"/>
  <c r="D21" i="15" s="1"/>
  <c r="M593" i="21"/>
  <c r="M520" i="21"/>
  <c r="E614" i="21"/>
  <c r="E413" i="21"/>
  <c r="E507" i="21"/>
  <c r="E441" i="21"/>
  <c r="E381" i="21"/>
  <c r="E623" i="21"/>
  <c r="E597" i="21"/>
  <c r="E388" i="21"/>
  <c r="E490" i="21"/>
  <c r="E454" i="21"/>
  <c r="E607" i="21"/>
  <c r="E589" i="21"/>
  <c r="E380" i="21"/>
  <c r="E482" i="21"/>
  <c r="E582" i="21"/>
  <c r="E591" i="21"/>
  <c r="E581" i="21"/>
  <c r="E372" i="21"/>
  <c r="E474" i="21"/>
  <c r="E487" i="21"/>
  <c r="E568" i="21"/>
  <c r="E510" i="21"/>
  <c r="E612" i="21"/>
  <c r="E403" i="21"/>
  <c r="E423" i="21"/>
  <c r="E543" i="21"/>
  <c r="E557" i="21"/>
  <c r="E348" i="21"/>
  <c r="E450" i="21"/>
  <c r="E558" i="21"/>
  <c r="E494" i="21"/>
  <c r="E488" i="21"/>
  <c r="E485" i="21"/>
  <c r="E549" i="21"/>
  <c r="E442" i="21"/>
  <c r="E383" i="21"/>
  <c r="E515" i="21"/>
  <c r="E366" i="21"/>
  <c r="E406" i="21"/>
  <c r="E471" i="21"/>
  <c r="E351" i="21"/>
  <c r="E370" i="21"/>
  <c r="E625" i="21"/>
  <c r="E448" i="21"/>
  <c r="E608" i="21"/>
  <c r="E550" i="21"/>
  <c r="E349" i="21"/>
  <c r="E443" i="21"/>
  <c r="E481" i="21"/>
  <c r="E364" i="21"/>
  <c r="E479" i="21"/>
  <c r="E533" i="21"/>
  <c r="E489" i="21"/>
  <c r="E426" i="21"/>
  <c r="E509" i="21"/>
  <c r="E463" i="21"/>
  <c r="E525" i="21"/>
  <c r="E619" i="21"/>
  <c r="E418" i="21"/>
  <c r="E573" i="21"/>
  <c r="E615" i="21"/>
  <c r="E517" i="21"/>
  <c r="E611" i="21"/>
  <c r="E410" i="21"/>
  <c r="E390" i="21"/>
  <c r="E504" i="21"/>
  <c r="E446" i="21"/>
  <c r="E548" i="21"/>
  <c r="E617" i="21"/>
  <c r="E465" i="21"/>
  <c r="E567" i="21"/>
  <c r="E493" i="21"/>
  <c r="E587" i="21"/>
  <c r="E386" i="21"/>
  <c r="E357" i="21"/>
  <c r="E596" i="21"/>
  <c r="E430" i="21"/>
  <c r="E424" i="21"/>
  <c r="E404" i="21"/>
  <c r="E431" i="21"/>
  <c r="E429" i="21"/>
  <c r="E505" i="21"/>
  <c r="E532" i="21"/>
  <c r="E506" i="21"/>
  <c r="E508" i="21"/>
  <c r="E594" i="21"/>
  <c r="E578" i="21"/>
  <c r="E408" i="21"/>
  <c r="E400" i="21"/>
  <c r="E436" i="21"/>
  <c r="E544" i="21"/>
  <c r="E486" i="21"/>
  <c r="E588" i="21"/>
  <c r="E379" i="21"/>
  <c r="E399" i="21"/>
  <c r="E347" i="21"/>
  <c r="E527" i="21"/>
  <c r="E469" i="21"/>
  <c r="E563" i="21"/>
  <c r="E362" i="21"/>
  <c r="E492" i="21"/>
  <c r="E511" i="21"/>
  <c r="E461" i="21"/>
  <c r="E555" i="21"/>
  <c r="E354" i="21"/>
  <c r="E556" i="21"/>
  <c r="E503" i="21"/>
  <c r="E453" i="21"/>
  <c r="E547" i="21"/>
  <c r="E346" i="21"/>
  <c r="E445" i="21"/>
  <c r="E440" i="21"/>
  <c r="E382" i="21"/>
  <c r="E484" i="21"/>
  <c r="E586" i="21"/>
  <c r="E455" i="21"/>
  <c r="E523" i="21"/>
  <c r="E451" i="21"/>
  <c r="E500" i="21"/>
  <c r="E432" i="21"/>
  <c r="E428" i="21"/>
  <c r="E477" i="21"/>
  <c r="E554" i="21"/>
  <c r="E392" i="21"/>
  <c r="E599" i="21"/>
  <c r="E480" i="21"/>
  <c r="E422" i="21"/>
  <c r="E524" i="21"/>
  <c r="E521" i="21"/>
  <c r="E449" i="21"/>
  <c r="E530" i="21"/>
  <c r="E606" i="21"/>
  <c r="E405" i="21"/>
  <c r="E499" i="21"/>
  <c r="E409" i="21"/>
  <c r="E475" i="21"/>
  <c r="E598" i="21"/>
  <c r="E397" i="21"/>
  <c r="E491" i="21"/>
  <c r="E377" i="21"/>
  <c r="E411" i="21"/>
  <c r="E590" i="21"/>
  <c r="E389" i="21"/>
  <c r="E483" i="21"/>
  <c r="E345" i="21"/>
  <c r="E620" i="21"/>
  <c r="E376" i="21"/>
  <c r="E513" i="21"/>
  <c r="E420" i="21"/>
  <c r="E522" i="21"/>
  <c r="E624" i="21"/>
  <c r="E566" i="21"/>
  <c r="E365" i="21"/>
  <c r="E459" i="21"/>
  <c r="E407" i="21"/>
  <c r="E402" i="21"/>
  <c r="E378" i="21"/>
  <c r="E387" i="21"/>
  <c r="E468" i="21"/>
  <c r="E375" i="21"/>
  <c r="E496" i="21"/>
  <c r="E497" i="21"/>
  <c r="E622" i="21"/>
  <c r="E464" i="21"/>
  <c r="E437" i="21"/>
  <c r="E551" i="21"/>
  <c r="E350" i="21"/>
  <c r="E512" i="21"/>
  <c r="E467" i="21"/>
  <c r="E416" i="21"/>
  <c r="E358" i="21"/>
  <c r="E460" i="21"/>
  <c r="E562" i="21"/>
  <c r="E576" i="21"/>
  <c r="E600" i="21"/>
  <c r="E542" i="21"/>
  <c r="E601" i="21"/>
  <c r="E435" i="21"/>
  <c r="E433" i="21"/>
  <c r="E592" i="21"/>
  <c r="E534" i="21"/>
  <c r="E577" i="21"/>
  <c r="E427" i="21"/>
  <c r="E401" i="21"/>
  <c r="E584" i="21"/>
  <c r="E526" i="21"/>
  <c r="E545" i="21"/>
  <c r="E419" i="21"/>
  <c r="E369" i="21"/>
  <c r="E603" i="21"/>
  <c r="E559" i="21"/>
  <c r="E565" i="21"/>
  <c r="E356" i="21"/>
  <c r="E458" i="21"/>
  <c r="E560" i="21"/>
  <c r="E502" i="21"/>
  <c r="E604" i="21"/>
  <c r="E395" i="21"/>
  <c r="E473" i="21"/>
  <c r="E359" i="21"/>
  <c r="E457" i="21"/>
  <c r="E569" i="21"/>
  <c r="E447" i="21"/>
  <c r="E466" i="21"/>
  <c r="E540" i="21"/>
  <c r="E393" i="21"/>
  <c r="E360" i="21"/>
  <c r="E361" i="21"/>
  <c r="E618" i="21"/>
  <c r="E529" i="21"/>
  <c r="E421" i="21"/>
  <c r="E535" i="21"/>
  <c r="E452" i="21"/>
  <c r="E444" i="21"/>
  <c r="E538" i="21"/>
  <c r="E352" i="21"/>
  <c r="E605" i="21"/>
  <c r="E396" i="21"/>
  <c r="E498" i="21"/>
  <c r="E575" i="21"/>
  <c r="E536" i="21"/>
  <c r="E478" i="21"/>
  <c r="E580" i="21"/>
  <c r="E371" i="21"/>
  <c r="E367" i="21"/>
  <c r="E528" i="21"/>
  <c r="E470" i="21"/>
  <c r="E572" i="21"/>
  <c r="E363" i="21"/>
  <c r="E425" i="21"/>
  <c r="E520" i="21"/>
  <c r="E462" i="21"/>
  <c r="E564" i="21"/>
  <c r="E355" i="21"/>
  <c r="E391" i="21"/>
  <c r="E539" i="21"/>
  <c r="E583" i="21"/>
  <c r="E501" i="21"/>
  <c r="E595" i="21"/>
  <c r="E394" i="21"/>
  <c r="E438" i="21"/>
  <c r="E593" i="21"/>
  <c r="E415" i="21"/>
  <c r="E398" i="21"/>
  <c r="E374" i="21"/>
  <c r="E613" i="21"/>
  <c r="E553" i="21"/>
  <c r="E546" i="21"/>
  <c r="E373" i="21"/>
  <c r="E495" i="21"/>
  <c r="E541" i="21"/>
  <c r="E537" i="21"/>
  <c r="E434" i="21"/>
  <c r="E518" i="21"/>
  <c r="E472" i="21"/>
  <c r="E414" i="21"/>
  <c r="E516" i="21"/>
  <c r="E417" i="21"/>
  <c r="E610" i="21"/>
  <c r="E385" i="21"/>
  <c r="E456" i="21"/>
  <c r="E602" i="21"/>
  <c r="E353" i="21"/>
  <c r="E531" i="21"/>
  <c r="E476" i="21"/>
  <c r="E561" i="21"/>
  <c r="E571" i="21"/>
  <c r="E384" i="21"/>
  <c r="E585" i="21"/>
  <c r="E574" i="21"/>
  <c r="E368" i="21"/>
  <c r="E519" i="21"/>
  <c r="E579" i="21"/>
  <c r="E439" i="21"/>
  <c r="E621" i="21"/>
  <c r="E412" i="21"/>
  <c r="E514" i="21"/>
  <c r="E609" i="21"/>
  <c r="E616" i="21"/>
  <c r="E552" i="21"/>
  <c r="E570" i="21"/>
  <c r="H14" i="17"/>
  <c r="H15" i="17"/>
  <c r="E2" i="18"/>
  <c r="AO44" i="21" l="1"/>
  <c r="AO43" i="21"/>
  <c r="AO47" i="21"/>
  <c r="AO36" i="21"/>
  <c r="AO35" i="21"/>
  <c r="AO39" i="21"/>
  <c r="AO50" i="21"/>
  <c r="AO42" i="21"/>
  <c r="AO31" i="21"/>
  <c r="AO49" i="21"/>
  <c r="AO34" i="21"/>
  <c r="AO46" i="21"/>
  <c r="AO33" i="21"/>
  <c r="AO41" i="21"/>
  <c r="AO38" i="21"/>
  <c r="AO40" i="21"/>
  <c r="AO48" i="21"/>
  <c r="AO30" i="21"/>
  <c r="AO32" i="21"/>
  <c r="AO37" i="21"/>
  <c r="AO45" i="21"/>
  <c r="E4" i="18"/>
  <c r="E5" i="18"/>
  <c r="A4" i="18" s="1"/>
  <c r="U343" i="21"/>
  <c r="AC67" i="21"/>
  <c r="AC63" i="21"/>
  <c r="AC72" i="21"/>
  <c r="AC66" i="21"/>
  <c r="AC62" i="21"/>
  <c r="AC65" i="21"/>
  <c r="AC59" i="21"/>
  <c r="AC58" i="21"/>
  <c r="AC68" i="21"/>
  <c r="AC70" i="21"/>
  <c r="AC64" i="21"/>
  <c r="AC56" i="21"/>
  <c r="AC69" i="21"/>
  <c r="AC71" i="21"/>
  <c r="AC61" i="21"/>
  <c r="AC73" i="21"/>
  <c r="AC60" i="21"/>
  <c r="AC57" i="21"/>
  <c r="F343" i="21"/>
  <c r="G343" i="21" s="1"/>
  <c r="A14" i="15" s="1"/>
  <c r="A660" i="21"/>
  <c r="A683" i="21"/>
  <c r="A646" i="21"/>
  <c r="A674" i="21"/>
  <c r="A656" i="21"/>
  <c r="A649" i="21"/>
  <c r="A657" i="21"/>
  <c r="A665" i="21"/>
  <c r="A680" i="21"/>
  <c r="A631" i="21"/>
  <c r="A639" i="21"/>
  <c r="A632" i="21"/>
  <c r="A655" i="21"/>
  <c r="A676" i="21"/>
  <c r="A684" i="21"/>
  <c r="A673" i="21"/>
  <c r="A682" i="21"/>
  <c r="A634" i="21"/>
  <c r="A642" i="21"/>
  <c r="A659" i="21"/>
  <c r="A671" i="21"/>
  <c r="A640" i="21"/>
  <c r="A643" i="21"/>
  <c r="A687" i="21"/>
  <c r="A651" i="21"/>
  <c r="A685" i="21"/>
  <c r="A653" i="21"/>
  <c r="A650" i="21"/>
  <c r="A669" i="21"/>
  <c r="A644" i="21"/>
  <c r="A654" i="21"/>
  <c r="A675" i="21"/>
  <c r="A664" i="21"/>
  <c r="A648" i="21"/>
  <c r="A667" i="21"/>
  <c r="A672" i="21"/>
  <c r="A662" i="21"/>
  <c r="A647" i="21"/>
  <c r="A645" i="21"/>
  <c r="A652" i="21"/>
  <c r="A668" i="21"/>
  <c r="A637" i="21"/>
  <c r="A658" i="21"/>
  <c r="A679" i="21"/>
  <c r="A686" i="21"/>
  <c r="A681" i="21"/>
  <c r="A688" i="21"/>
  <c r="A670" i="21"/>
  <c r="A663" i="21"/>
  <c r="A661" i="21"/>
  <c r="A677" i="21"/>
  <c r="A636" i="21"/>
  <c r="A690" i="21"/>
  <c r="A633" i="21"/>
  <c r="A630" i="21"/>
  <c r="A641" i="21"/>
  <c r="A689" i="21"/>
  <c r="A678" i="21"/>
  <c r="A638" i="21"/>
  <c r="A666" i="21"/>
  <c r="A635" i="21"/>
  <c r="P102" i="21"/>
  <c r="P100" i="21"/>
  <c r="P107" i="21"/>
  <c r="P105" i="21"/>
  <c r="P101" i="21"/>
  <c r="P103" i="21"/>
  <c r="P106" i="21"/>
  <c r="P104" i="21"/>
  <c r="U554" i="21" l="1"/>
  <c r="U597" i="21"/>
  <c r="U515" i="21"/>
  <c r="U400" i="21"/>
  <c r="U487" i="21"/>
  <c r="U520" i="21"/>
  <c r="U539" i="21"/>
  <c r="U510" i="21"/>
  <c r="U563" i="21"/>
  <c r="U557" i="21"/>
  <c r="U561" i="21"/>
  <c r="U576" i="21"/>
  <c r="U484" i="21"/>
  <c r="U589" i="21"/>
  <c r="U493" i="21"/>
  <c r="U625" i="21"/>
  <c r="U370" i="21"/>
  <c r="U386" i="21"/>
  <c r="U505" i="21"/>
  <c r="U518" i="21"/>
  <c r="U436" i="21"/>
  <c r="U620" i="21"/>
  <c r="U412" i="21"/>
  <c r="U503" i="21"/>
  <c r="U521" i="21"/>
  <c r="U573" i="21"/>
  <c r="U600" i="21"/>
  <c r="U414" i="21"/>
  <c r="U416" i="21"/>
  <c r="U441" i="21"/>
  <c r="U607" i="21"/>
  <c r="U375" i="21"/>
  <c r="U415" i="21"/>
  <c r="U581" i="21"/>
  <c r="U354" i="21"/>
  <c r="U391" i="21"/>
  <c r="U378" i="21"/>
  <c r="U485" i="21"/>
  <c r="U511" i="21"/>
  <c r="U408" i="21"/>
  <c r="U529" i="21"/>
  <c r="U564" i="21"/>
  <c r="U501" i="21"/>
  <c r="U534" i="21"/>
  <c r="U489" i="21"/>
  <c r="U524" i="21"/>
  <c r="U455" i="21"/>
  <c r="U410" i="21"/>
  <c r="U578" i="21"/>
  <c r="U500" i="21"/>
  <c r="U624" i="21"/>
  <c r="U532" i="21"/>
  <c r="U459" i="21"/>
  <c r="U359" i="21"/>
  <c r="U392" i="21"/>
  <c r="U407" i="21"/>
  <c r="U541" i="21"/>
  <c r="U468" i="21"/>
  <c r="U395" i="21"/>
  <c r="U527" i="21"/>
  <c r="U546" i="21"/>
  <c r="U517" i="21"/>
  <c r="U357" i="21"/>
  <c r="U603" i="21"/>
  <c r="U606" i="21"/>
  <c r="U530" i="21"/>
  <c r="U430" i="21"/>
  <c r="U463" i="21"/>
  <c r="U418" i="21"/>
  <c r="U389" i="21"/>
  <c r="U586" i="21"/>
  <c r="U555" i="21"/>
  <c r="U618" i="21"/>
  <c r="U352" i="21"/>
  <c r="U498" i="21"/>
  <c r="U385" i="21"/>
  <c r="U353" i="21"/>
  <c r="U461" i="21"/>
  <c r="U428" i="21"/>
  <c r="U552" i="21"/>
  <c r="U593" i="21"/>
  <c r="U614" i="21"/>
  <c r="U548" i="21"/>
  <c r="U447" i="21"/>
  <c r="U479" i="21"/>
  <c r="U619" i="21"/>
  <c r="U432" i="21"/>
  <c r="U582" i="21"/>
  <c r="U499" i="21"/>
  <c r="U377" i="21"/>
  <c r="U536" i="21"/>
  <c r="U473" i="21"/>
  <c r="U373" i="21"/>
  <c r="U406" i="21"/>
  <c r="U371" i="21"/>
  <c r="U623" i="21"/>
  <c r="U351" i="21"/>
  <c r="U431" i="21"/>
  <c r="U598" i="21"/>
  <c r="U504" i="21"/>
  <c r="U615" i="21"/>
  <c r="U458" i="21"/>
  <c r="U483" i="21"/>
  <c r="U567" i="21"/>
  <c r="U553" i="21"/>
  <c r="U444" i="21"/>
  <c r="U477" i="21"/>
  <c r="U580" i="21"/>
  <c r="U594" i="21"/>
  <c r="U604" i="21"/>
  <c r="U405" i="21"/>
  <c r="U575" i="21"/>
  <c r="U470" i="21"/>
  <c r="U471" i="21"/>
  <c r="U583" i="21"/>
  <c r="U381" i="21"/>
  <c r="U610" i="21"/>
  <c r="U355" i="21"/>
  <c r="U585" i="21"/>
  <c r="U402" i="21"/>
  <c r="U568" i="21"/>
  <c r="U611" i="21"/>
  <c r="U559" i="21"/>
  <c r="U380" i="21"/>
  <c r="U397" i="21"/>
  <c r="U596" i="21"/>
  <c r="U475" i="21"/>
  <c r="U446" i="21"/>
  <c r="U372" i="21"/>
  <c r="U513" i="21"/>
  <c r="U497" i="21"/>
  <c r="U608" i="21"/>
  <c r="U495" i="21"/>
  <c r="U514" i="21"/>
  <c r="U420" i="21"/>
  <c r="U556" i="21"/>
  <c r="U433" i="21"/>
  <c r="U531" i="21"/>
  <c r="U445" i="21"/>
  <c r="U366" i="21"/>
  <c r="U454" i="21"/>
  <c r="U478" i="21"/>
  <c r="U480" i="21"/>
  <c r="U448" i="21"/>
  <c r="U403" i="21"/>
  <c r="U569" i="21"/>
  <c r="U613" i="21"/>
  <c r="U566" i="21"/>
  <c r="U525" i="21"/>
  <c r="U421" i="21"/>
  <c r="U599" i="21"/>
  <c r="U496" i="21"/>
  <c r="U571" i="21"/>
  <c r="U427" i="21"/>
  <c r="U376" i="21"/>
  <c r="U426" i="21"/>
  <c r="U542" i="21"/>
  <c r="U424" i="21"/>
  <c r="U591" i="21"/>
  <c r="U349" i="21"/>
  <c r="U565" i="21"/>
  <c r="U413" i="21"/>
  <c r="U450" i="21"/>
  <c r="U616" i="21"/>
  <c r="U425" i="21"/>
  <c r="U460" i="21"/>
  <c r="U387" i="21"/>
  <c r="U535" i="21"/>
  <c r="U601" i="21"/>
  <c r="U346" i="21"/>
  <c r="U509" i="21"/>
  <c r="U558" i="21"/>
  <c r="U409" i="21"/>
  <c r="U572" i="21"/>
  <c r="U526" i="21"/>
  <c r="U545" i="21"/>
  <c r="U379" i="21"/>
  <c r="U363" i="21"/>
  <c r="U574" i="21"/>
  <c r="U605" i="21"/>
  <c r="U494" i="21"/>
  <c r="U398" i="21"/>
  <c r="U417" i="21"/>
  <c r="U587" i="21"/>
  <c r="U492" i="21"/>
  <c r="U464" i="21"/>
  <c r="U507" i="21"/>
  <c r="U466" i="21"/>
  <c r="U622" i="21"/>
  <c r="U543" i="21"/>
  <c r="U369" i="21"/>
  <c r="U384" i="21"/>
  <c r="U422" i="21"/>
  <c r="U440" i="21"/>
  <c r="U592" i="21"/>
  <c r="U538" i="21"/>
  <c r="U438" i="21"/>
  <c r="U551" i="21"/>
  <c r="U365" i="21"/>
  <c r="U584" i="21"/>
  <c r="U362" i="21"/>
  <c r="U549" i="21"/>
  <c r="U360" i="21"/>
  <c r="U383" i="21"/>
  <c r="U486" i="21"/>
  <c r="U401" i="21"/>
  <c r="U434" i="21"/>
  <c r="U540" i="21"/>
  <c r="U368" i="21"/>
  <c r="U550" i="21"/>
  <c r="U435" i="21"/>
  <c r="U350" i="21"/>
  <c r="U602" i="21"/>
  <c r="U476" i="21"/>
  <c r="U570" i="21"/>
  <c r="U522" i="21"/>
  <c r="U547" i="21"/>
  <c r="U358" i="21"/>
  <c r="U345" i="21"/>
  <c r="U508" i="21"/>
  <c r="U348" i="21"/>
  <c r="U439" i="21"/>
  <c r="U472" i="21"/>
  <c r="U506" i="21"/>
  <c r="U419" i="21"/>
  <c r="U590" i="21"/>
  <c r="U488" i="21"/>
  <c r="U442" i="21"/>
  <c r="U404" i="21"/>
  <c r="U502" i="21"/>
  <c r="U465" i="21"/>
  <c r="U481" i="21"/>
  <c r="U533" i="21"/>
  <c r="U562" i="21"/>
  <c r="U452" i="21"/>
  <c r="U429" i="21"/>
  <c r="U451" i="21"/>
  <c r="U612" i="21"/>
  <c r="U519" i="21"/>
  <c r="U474" i="21"/>
  <c r="U374" i="21"/>
  <c r="U609" i="21"/>
  <c r="U523" i="21"/>
  <c r="U423" i="21"/>
  <c r="U456" i="21"/>
  <c r="U411" i="21"/>
  <c r="U382" i="21"/>
  <c r="U621" i="21"/>
  <c r="U449" i="21"/>
  <c r="U544" i="21"/>
  <c r="U356" i="21"/>
  <c r="U347" i="21"/>
  <c r="U588" i="21"/>
  <c r="U577" i="21"/>
  <c r="U512" i="21"/>
  <c r="U467" i="21"/>
  <c r="U367" i="21"/>
  <c r="U393" i="21"/>
  <c r="U482" i="21"/>
  <c r="U453" i="21"/>
  <c r="U364" i="21"/>
  <c r="U528" i="21"/>
  <c r="U617" i="21"/>
  <c r="U399" i="21"/>
  <c r="U490" i="21"/>
  <c r="U390" i="21"/>
  <c r="U469" i="21"/>
  <c r="U537" i="21"/>
  <c r="U361" i="21"/>
  <c r="U595" i="21"/>
  <c r="U560" i="21"/>
  <c r="U462" i="21"/>
  <c r="U394" i="21"/>
  <c r="U516" i="21"/>
  <c r="U579" i="21"/>
  <c r="U388" i="21"/>
  <c r="U457" i="21"/>
  <c r="U437" i="21"/>
  <c r="U396" i="21"/>
  <c r="U491" i="21"/>
  <c r="U443" i="21"/>
  <c r="AD54" i="21"/>
  <c r="B628" i="21"/>
  <c r="C628" i="21" s="1"/>
  <c r="A30" i="17" s="1"/>
  <c r="AR54" i="21" s="1"/>
  <c r="AP28" i="21"/>
  <c r="Q98" i="21"/>
  <c r="AF54" i="21" l="1"/>
  <c r="AG54" i="21"/>
  <c r="A20" i="17" s="1"/>
  <c r="AE54" i="21"/>
  <c r="A18" i="17" s="1"/>
  <c r="AH54" i="21"/>
  <c r="AI54" i="21"/>
  <c r="A24" i="17" s="1"/>
  <c r="AB98" i="21"/>
  <c r="D41" i="11" s="1"/>
  <c r="R98" i="21"/>
  <c r="D21" i="11" s="1"/>
  <c r="T98" i="21"/>
  <c r="D25" i="11" s="1"/>
  <c r="W98" i="21"/>
  <c r="D31" i="11" s="1"/>
  <c r="AA98" i="21"/>
  <c r="D39" i="11" s="1"/>
  <c r="V98" i="21"/>
  <c r="D29" i="11" s="1"/>
  <c r="S98" i="21"/>
  <c r="D23" i="11" s="1"/>
  <c r="Z98" i="21"/>
  <c r="D37" i="11" s="1"/>
  <c r="U98" i="21"/>
  <c r="D27" i="11" s="1"/>
  <c r="Y98" i="21"/>
  <c r="D35" i="11" s="1"/>
  <c r="X98" i="21"/>
  <c r="D33" i="11" s="1"/>
  <c r="A48" i="17" s="1"/>
  <c r="L18" i="17" s="1"/>
  <c r="D54" i="17" s="1"/>
  <c r="A54" i="17" s="1"/>
  <c r="AU28" i="21"/>
  <c r="A14" i="17" s="1"/>
  <c r="AT28" i="21"/>
  <c r="AS28" i="21"/>
  <c r="AR28" i="21"/>
  <c r="AQ28" i="21"/>
  <c r="A12" i="17" s="1"/>
  <c r="AR66" i="21"/>
  <c r="AR65" i="21"/>
  <c r="AR99" i="21"/>
  <c r="AR109" i="21"/>
  <c r="AR92" i="21"/>
  <c r="AR78" i="21"/>
  <c r="AR80" i="21"/>
  <c r="AR110" i="21"/>
  <c r="AR59" i="21"/>
  <c r="AR108" i="21"/>
  <c r="AR86" i="21"/>
  <c r="AR67" i="21"/>
  <c r="AR70" i="21"/>
  <c r="AR96" i="21"/>
  <c r="AR93" i="21"/>
  <c r="AR89" i="21"/>
  <c r="AR75" i="21"/>
  <c r="AR85" i="21"/>
  <c r="AR106" i="21"/>
  <c r="AR62" i="21"/>
  <c r="AR87" i="21"/>
  <c r="AR74" i="21"/>
  <c r="AR71" i="21"/>
  <c r="AR72" i="21"/>
  <c r="AR63" i="21"/>
  <c r="AR103" i="21"/>
  <c r="AR73" i="21"/>
  <c r="AR56" i="21"/>
  <c r="AR61" i="21"/>
  <c r="AR104" i="21"/>
  <c r="AR94" i="21"/>
  <c r="AR105" i="21"/>
  <c r="AR69" i="21"/>
  <c r="AR58" i="21"/>
  <c r="AR64" i="21"/>
  <c r="AR68" i="21"/>
  <c r="AR57" i="21"/>
  <c r="AR60" i="21"/>
  <c r="AR97" i="21"/>
  <c r="AR88" i="21"/>
  <c r="AR100" i="21"/>
  <c r="AR83" i="21"/>
  <c r="AR101" i="21"/>
  <c r="AR107" i="21"/>
  <c r="AR84" i="21"/>
  <c r="AR90" i="21"/>
  <c r="AR102" i="21"/>
  <c r="AR76" i="21"/>
  <c r="AR98" i="21"/>
  <c r="AR81" i="21"/>
  <c r="AR77" i="21"/>
  <c r="AR79" i="21"/>
  <c r="AR82" i="21"/>
  <c r="AR91" i="21"/>
  <c r="AR95" i="21"/>
  <c r="V343" i="21"/>
  <c r="W343" i="21" s="1"/>
  <c r="A28" i="17" s="1"/>
  <c r="E7" i="18" l="1"/>
  <c r="A2" i="18" s="1"/>
  <c r="D2" i="27"/>
  <c r="A22" i="17"/>
  <c r="AI28" i="21"/>
  <c r="L11" i="17"/>
  <c r="L12" i="17"/>
  <c r="AS54" i="21"/>
  <c r="AT54" i="21" s="1"/>
  <c r="A32" i="17" s="1"/>
  <c r="H4" i="17"/>
  <c r="H6" i="17"/>
  <c r="AM28" i="21" l="1"/>
  <c r="A40" i="5" s="1"/>
  <c r="AK28" i="21"/>
  <c r="A36" i="5" s="1"/>
  <c r="AJ28" i="21"/>
  <c r="AL28" i="21"/>
  <c r="A38" i="5" s="1"/>
  <c r="D4" i="27"/>
  <c r="D8" i="27"/>
  <c r="D5" i="27"/>
  <c r="Y343" i="21" s="1"/>
  <c r="H2" i="27"/>
  <c r="D7" i="27"/>
  <c r="A4" i="27" s="1"/>
  <c r="A6" i="27"/>
  <c r="H4" i="27" l="1"/>
  <c r="H5" i="27"/>
  <c r="R165" i="21" s="1"/>
  <c r="A10" i="27"/>
  <c r="A12" i="27"/>
  <c r="Y618" i="21"/>
  <c r="Y554" i="21"/>
  <c r="Y490" i="21"/>
  <c r="Y426" i="21"/>
  <c r="Y362" i="21"/>
  <c r="Y609" i="21"/>
  <c r="Y545" i="21"/>
  <c r="Y481" i="21"/>
  <c r="Y417" i="21"/>
  <c r="Y353" i="21"/>
  <c r="Y584" i="21"/>
  <c r="Y520" i="21"/>
  <c r="Y456" i="21"/>
  <c r="Y392" i="21"/>
  <c r="Y411" i="21"/>
  <c r="Y575" i="21"/>
  <c r="Y511" i="21"/>
  <c r="Y447" i="21"/>
  <c r="Y383" i="21"/>
  <c r="Y387" i="21"/>
  <c r="Y566" i="21"/>
  <c r="Y502" i="21"/>
  <c r="Y438" i="21"/>
  <c r="Y374" i="21"/>
  <c r="Y613" i="21"/>
  <c r="Y549" i="21"/>
  <c r="Y485" i="21"/>
  <c r="Y421" i="21"/>
  <c r="Y427" i="21"/>
  <c r="Y572" i="21"/>
  <c r="Y508" i="21"/>
  <c r="Y444" i="21"/>
  <c r="Y380" i="21"/>
  <c r="Y595" i="21"/>
  <c r="Y491" i="21"/>
  <c r="Y355" i="21"/>
  <c r="Y364" i="21"/>
  <c r="Y467" i="21"/>
  <c r="Y484" i="21"/>
  <c r="Y459" i="21"/>
  <c r="Y588" i="21"/>
  <c r="Y611" i="21"/>
  <c r="Y610" i="21"/>
  <c r="Y546" i="21"/>
  <c r="Y482" i="21"/>
  <c r="Y418" i="21"/>
  <c r="Y354" i="21"/>
  <c r="Y601" i="21"/>
  <c r="Y537" i="21"/>
  <c r="Y473" i="21"/>
  <c r="Y409" i="21"/>
  <c r="Y345" i="21"/>
  <c r="Y576" i="21"/>
  <c r="Y512" i="21"/>
  <c r="Y448" i="21"/>
  <c r="Y384" i="21"/>
  <c r="Y371" i="21"/>
  <c r="Y567" i="21"/>
  <c r="Y503" i="21"/>
  <c r="Y439" i="21"/>
  <c r="Y375" i="21"/>
  <c r="Y622" i="21"/>
  <c r="Y558" i="21"/>
  <c r="Y494" i="21"/>
  <c r="Y430" i="21"/>
  <c r="Y366" i="21"/>
  <c r="Y605" i="21"/>
  <c r="Y541" i="21"/>
  <c r="Y477" i="21"/>
  <c r="Y405" i="21"/>
  <c r="Y379" i="21"/>
  <c r="Y564" i="21"/>
  <c r="Y500" i="21"/>
  <c r="Y436" i="21"/>
  <c r="Y372" i="21"/>
  <c r="Y587" i="21"/>
  <c r="Y475" i="21"/>
  <c r="Y357" i="21"/>
  <c r="Y507" i="21"/>
  <c r="Y602" i="21"/>
  <c r="Y538" i="21"/>
  <c r="Y474" i="21"/>
  <c r="Y410" i="21"/>
  <c r="Y346" i="21"/>
  <c r="Y593" i="21"/>
  <c r="Y529" i="21"/>
  <c r="Y465" i="21"/>
  <c r="Y401" i="21"/>
  <c r="Y483" i="21"/>
  <c r="Y568" i="21"/>
  <c r="Y504" i="21"/>
  <c r="Y440" i="21"/>
  <c r="Y376" i="21"/>
  <c r="Y623" i="21"/>
  <c r="Y559" i="21"/>
  <c r="Y495" i="21"/>
  <c r="Y431" i="21"/>
  <c r="Y367" i="21"/>
  <c r="Y614" i="21"/>
  <c r="Y550" i="21"/>
  <c r="Y486" i="21"/>
  <c r="Y422" i="21"/>
  <c r="Y358" i="21"/>
  <c r="Y597" i="21"/>
  <c r="Y533" i="21"/>
  <c r="Y469" i="21"/>
  <c r="Y389" i="21"/>
  <c r="Y620" i="21"/>
  <c r="Y556" i="21"/>
  <c r="Y492" i="21"/>
  <c r="Y428" i="21"/>
  <c r="Y579" i="21"/>
  <c r="Y420" i="21"/>
  <c r="Y555" i="21"/>
  <c r="Y437" i="21"/>
  <c r="Y403" i="21"/>
  <c r="Y594" i="21"/>
  <c r="Y530" i="21"/>
  <c r="Y466" i="21"/>
  <c r="Y402" i="21"/>
  <c r="Y523" i="21"/>
  <c r="Y585" i="21"/>
  <c r="Y521" i="21"/>
  <c r="Y457" i="21"/>
  <c r="Y393" i="21"/>
  <c r="Y624" i="21"/>
  <c r="Y560" i="21"/>
  <c r="Y496" i="21"/>
  <c r="Y432" i="21"/>
  <c r="Y368" i="21"/>
  <c r="Y615" i="21"/>
  <c r="Y551" i="21"/>
  <c r="Y487" i="21"/>
  <c r="Y423" i="21"/>
  <c r="Y359" i="21"/>
  <c r="Y606" i="21"/>
  <c r="Y542" i="21"/>
  <c r="Y478" i="21"/>
  <c r="Y414" i="21"/>
  <c r="Y350" i="21"/>
  <c r="Y589" i="21"/>
  <c r="Y525" i="21"/>
  <c r="Y461" i="21"/>
  <c r="Y381" i="21"/>
  <c r="Y612" i="21"/>
  <c r="Y548" i="21"/>
  <c r="Y356" i="21"/>
  <c r="Y586" i="21"/>
  <c r="Y522" i="21"/>
  <c r="Y458" i="21"/>
  <c r="Y394" i="21"/>
  <c r="Y435" i="21"/>
  <c r="Y577" i="21"/>
  <c r="Y513" i="21"/>
  <c r="Y449" i="21"/>
  <c r="Y385" i="21"/>
  <c r="Y616" i="21"/>
  <c r="Y552" i="21"/>
  <c r="Y488" i="21"/>
  <c r="Y424" i="21"/>
  <c r="Y360" i="21"/>
  <c r="Y607" i="21"/>
  <c r="Y543" i="21"/>
  <c r="Y479" i="21"/>
  <c r="Y415" i="21"/>
  <c r="Y351" i="21"/>
  <c r="Y598" i="21"/>
  <c r="Y534" i="21"/>
  <c r="Y470" i="21"/>
  <c r="Y406" i="21"/>
  <c r="Y413" i="21"/>
  <c r="Y581" i="21"/>
  <c r="Y517" i="21"/>
  <c r="Y453" i="21"/>
  <c r="Y373" i="21"/>
  <c r="Y604" i="21"/>
  <c r="Y540" i="21"/>
  <c r="Y476" i="21"/>
  <c r="Y412" i="21"/>
  <c r="Y348" i="21"/>
  <c r="Y539" i="21"/>
  <c r="Y443" i="21"/>
  <c r="Y532" i="21"/>
  <c r="Y619" i="21"/>
  <c r="Y565" i="21"/>
  <c r="Y396" i="21"/>
  <c r="Y578" i="21"/>
  <c r="Y514" i="21"/>
  <c r="Y450" i="21"/>
  <c r="Y386" i="21"/>
  <c r="Y395" i="21"/>
  <c r="Y569" i="21"/>
  <c r="Y505" i="21"/>
  <c r="Y441" i="21"/>
  <c r="Y377" i="21"/>
  <c r="Y608" i="21"/>
  <c r="Y544" i="21"/>
  <c r="Y480" i="21"/>
  <c r="Y416" i="21"/>
  <c r="Y352" i="21"/>
  <c r="Y599" i="21"/>
  <c r="Y535" i="21"/>
  <c r="Y471" i="21"/>
  <c r="Y407" i="21"/>
  <c r="Y397" i="21"/>
  <c r="Y590" i="21"/>
  <c r="Y526" i="21"/>
  <c r="Y462" i="21"/>
  <c r="Y398" i="21"/>
  <c r="Y531" i="21"/>
  <c r="Y573" i="21"/>
  <c r="Y509" i="21"/>
  <c r="Y445" i="21"/>
  <c r="Y365" i="21"/>
  <c r="Y596" i="21"/>
  <c r="Y468" i="21"/>
  <c r="Y404" i="21"/>
  <c r="Y515" i="21"/>
  <c r="Y419" i="21"/>
  <c r="Y347" i="21"/>
  <c r="Y460" i="21"/>
  <c r="Y570" i="21"/>
  <c r="Y506" i="21"/>
  <c r="Y442" i="21"/>
  <c r="Y378" i="21"/>
  <c r="Y625" i="21"/>
  <c r="Y561" i="21"/>
  <c r="Y497" i="21"/>
  <c r="Y433" i="21"/>
  <c r="Y369" i="21"/>
  <c r="Y600" i="21"/>
  <c r="Y536" i="21"/>
  <c r="Y472" i="21"/>
  <c r="Y408" i="21"/>
  <c r="Y563" i="21"/>
  <c r="Y591" i="21"/>
  <c r="Y527" i="21"/>
  <c r="Y463" i="21"/>
  <c r="Y399" i="21"/>
  <c r="Y349" i="21"/>
  <c r="Y582" i="21"/>
  <c r="Y518" i="21"/>
  <c r="Y454" i="21"/>
  <c r="Y390" i="21"/>
  <c r="Y501" i="21"/>
  <c r="Y524" i="21"/>
  <c r="Y562" i="21"/>
  <c r="Y498" i="21"/>
  <c r="Y434" i="21"/>
  <c r="Y370" i="21"/>
  <c r="Y617" i="21"/>
  <c r="Y553" i="21"/>
  <c r="Y489" i="21"/>
  <c r="Y425" i="21"/>
  <c r="Y361" i="21"/>
  <c r="Y592" i="21"/>
  <c r="Y528" i="21"/>
  <c r="Y464" i="21"/>
  <c r="Y400" i="21"/>
  <c r="Y451" i="21"/>
  <c r="Y583" i="21"/>
  <c r="Y519" i="21"/>
  <c r="Y455" i="21"/>
  <c r="Y391" i="21"/>
  <c r="Y571" i="21"/>
  <c r="Y574" i="21"/>
  <c r="Y510" i="21"/>
  <c r="Y446" i="21"/>
  <c r="Y382" i="21"/>
  <c r="Y621" i="21"/>
  <c r="Y557" i="21"/>
  <c r="Y493" i="21"/>
  <c r="Y429" i="21"/>
  <c r="Y547" i="21"/>
  <c r="Y580" i="21"/>
  <c r="Y516" i="21"/>
  <c r="Y452" i="21"/>
  <c r="Y388" i="21"/>
  <c r="Y603" i="21"/>
  <c r="Y499" i="21"/>
  <c r="Y363" i="21"/>
  <c r="Z343" i="21" l="1"/>
  <c r="AA343" i="21" s="1"/>
  <c r="A2" i="27" s="1"/>
  <c r="R206" i="21"/>
  <c r="R189" i="21"/>
  <c r="R172" i="21"/>
  <c r="R209" i="21"/>
  <c r="R170" i="21"/>
  <c r="R184" i="21"/>
  <c r="R185" i="21"/>
  <c r="R177" i="21"/>
  <c r="R202" i="21"/>
  <c r="R198" i="21"/>
  <c r="R181" i="21"/>
  <c r="R169" i="21"/>
  <c r="R193" i="21"/>
  <c r="R176" i="21"/>
  <c r="R173" i="21"/>
  <c r="R175" i="21"/>
  <c r="R201" i="21"/>
  <c r="R182" i="21"/>
  <c r="R199" i="21"/>
  <c r="R187" i="21"/>
  <c r="R200" i="21"/>
  <c r="R180" i="21"/>
  <c r="R190" i="21"/>
  <c r="R183" i="21"/>
  <c r="R168" i="21"/>
  <c r="R203" i="21"/>
  <c r="R191" i="21"/>
  <c r="R174" i="21"/>
  <c r="R195" i="21"/>
  <c r="R167" i="21"/>
  <c r="R196" i="21"/>
  <c r="R205" i="21"/>
  <c r="R186" i="21"/>
  <c r="R178" i="21"/>
  <c r="R210" i="21"/>
  <c r="R179" i="21"/>
  <c r="R204" i="21"/>
  <c r="R207" i="21"/>
  <c r="R208" i="21"/>
  <c r="R188" i="21"/>
  <c r="R171" i="21"/>
  <c r="R194" i="21"/>
  <c r="R197" i="21"/>
  <c r="R192" i="21"/>
  <c r="S165" i="21" l="1"/>
  <c r="T165" i="21" s="1"/>
  <c r="A8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<sst xmlns="http://schemas.openxmlformats.org/spreadsheetml/2006/main" count="1601" uniqueCount="994">
  <si>
    <t>W</t>
    <phoneticPr fontId="1"/>
  </si>
  <si>
    <t>荷重P</t>
    <rPh sb="0" eb="1">
      <t>カジュウ</t>
    </rPh>
    <phoneticPr fontId="1"/>
  </si>
  <si>
    <t>Q</t>
    <phoneticPr fontId="1"/>
  </si>
  <si>
    <t>kN</t>
    <phoneticPr fontId="1"/>
  </si>
  <si>
    <t>L</t>
    <phoneticPr fontId="1"/>
  </si>
  <si>
    <t>揚程</t>
    <rPh sb="0" eb="2">
      <t>ヨウテイ</t>
    </rPh>
    <phoneticPr fontId="1"/>
  </si>
  <si>
    <t>dw</t>
    <phoneticPr fontId="1"/>
  </si>
  <si>
    <t>m</t>
    <phoneticPr fontId="1"/>
  </si>
  <si>
    <t>S</t>
    <phoneticPr fontId="1"/>
  </si>
  <si>
    <t>A</t>
    <phoneticPr fontId="1"/>
  </si>
  <si>
    <t>シンブル</t>
    <phoneticPr fontId="1"/>
  </si>
  <si>
    <t>DD</t>
    <phoneticPr fontId="1"/>
  </si>
  <si>
    <t>df</t>
    <phoneticPr fontId="1"/>
  </si>
  <si>
    <t>Td</t>
    <phoneticPr fontId="1"/>
  </si>
  <si>
    <t>DD決定値</t>
    <rPh sb="2" eb="4">
      <t>ケッテイ</t>
    </rPh>
    <rPh sb="4" eb="5">
      <t>チ</t>
    </rPh>
    <phoneticPr fontId="1"/>
  </si>
  <si>
    <t>p</t>
    <phoneticPr fontId="1"/>
  </si>
  <si>
    <t>b</t>
    <phoneticPr fontId="1"/>
  </si>
  <si>
    <t>d</t>
    <phoneticPr fontId="1"/>
  </si>
  <si>
    <t>初期設定は整数切り上げ</t>
  </si>
  <si>
    <t>付表3からM__の値を決定する</t>
    <rPh sb="0" eb="2">
      <t>フヒョウ</t>
    </rPh>
    <rPh sb="9" eb="10">
      <t>アタイ</t>
    </rPh>
    <rPh sb="11" eb="13">
      <t>ケッテイ</t>
    </rPh>
    <phoneticPr fontId="1"/>
  </si>
  <si>
    <t>p決定値</t>
    <rPh sb="1" eb="3">
      <t>ケッテイ</t>
    </rPh>
    <rPh sb="3" eb="4">
      <t>チ</t>
    </rPh>
    <phoneticPr fontId="1"/>
  </si>
  <si>
    <t>n</t>
    <phoneticPr fontId="1"/>
  </si>
  <si>
    <t>l</t>
    <phoneticPr fontId="1"/>
  </si>
  <si>
    <t>M__</t>
    <phoneticPr fontId="1"/>
  </si>
  <si>
    <t>D4より</t>
  </si>
  <si>
    <t>上のdの自動選択,自動選択につきおかしいときは使用しない</t>
    <rPh sb="0" eb="1">
      <t>ウエ</t>
    </rPh>
    <rPh sb="4" eb="6">
      <t>ジドウ</t>
    </rPh>
    <rPh sb="6" eb="8">
      <t>センタク</t>
    </rPh>
    <rPh sb="9" eb="11">
      <t>ジドウ</t>
    </rPh>
    <rPh sb="11" eb="13">
      <t>センタク</t>
    </rPh>
    <rPh sb="23" eb="25">
      <t>シヨウ</t>
    </rPh>
    <phoneticPr fontId="1"/>
  </si>
  <si>
    <t>l0</t>
    <phoneticPr fontId="1"/>
  </si>
  <si>
    <t>td</t>
    <phoneticPr fontId="1"/>
  </si>
  <si>
    <t>キリのいい数字にする</t>
    <rPh sb="5" eb="7">
      <t>スウジ</t>
    </rPh>
    <phoneticPr fontId="1"/>
  </si>
  <si>
    <t>n決定値</t>
    <rPh sb="1" eb="3">
      <t>ケッテイ</t>
    </rPh>
    <rPh sb="3" eb="4">
      <t>チ</t>
    </rPh>
    <phoneticPr fontId="1"/>
  </si>
  <si>
    <t>l0+120</t>
    <phoneticPr fontId="1"/>
  </si>
  <si>
    <t>Db</t>
    <phoneticPr fontId="1"/>
  </si>
  <si>
    <t>D6より</t>
    <phoneticPr fontId="1"/>
  </si>
  <si>
    <r>
      <t>l0</t>
    </r>
    <r>
      <rPr>
        <sz val="11"/>
        <color theme="1"/>
        <rFont val="ＭＳ Ｐゴシック"/>
        <family val="3"/>
        <charset val="128"/>
      </rPr>
      <t>決定値</t>
    </r>
    <rPh sb="2" eb="4">
      <t>ケッテイ</t>
    </rPh>
    <rPh sb="4" eb="5">
      <t>チ</t>
    </rPh>
    <phoneticPr fontId="1"/>
  </si>
  <si>
    <t>Lw</t>
    <phoneticPr fontId="1"/>
  </si>
  <si>
    <t>D10より</t>
    <phoneticPr fontId="1"/>
  </si>
  <si>
    <t>mm</t>
    <phoneticPr fontId="1"/>
  </si>
  <si>
    <t>表2.8</t>
    <rPh sb="0" eb="1">
      <t>ヒョウ</t>
    </rPh>
    <phoneticPr fontId="1"/>
  </si>
  <si>
    <t>Ww</t>
    <phoneticPr fontId="1"/>
  </si>
  <si>
    <t>mW</t>
    <phoneticPr fontId="1"/>
  </si>
  <si>
    <t>表2.7</t>
    <rPh sb="0" eb="1">
      <t>ヒョウ</t>
    </rPh>
    <phoneticPr fontId="1"/>
  </si>
  <si>
    <t>P</t>
    <phoneticPr fontId="1"/>
  </si>
  <si>
    <t>荷重</t>
    <rPh sb="0" eb="2">
      <t>カジュウ</t>
    </rPh>
    <phoneticPr fontId="1"/>
  </si>
  <si>
    <t>σc</t>
    <phoneticPr fontId="1"/>
  </si>
  <si>
    <t>Df1</t>
    <phoneticPr fontId="1"/>
  </si>
  <si>
    <t>td決定値</t>
    <rPh sb="2" eb="4">
      <t>ケッテイ</t>
    </rPh>
    <rPh sb="4" eb="5">
      <t>チ</t>
    </rPh>
    <phoneticPr fontId="1"/>
  </si>
  <si>
    <t>D19の時の値を目安に付表1から(最終決定値はG8)</t>
    <rPh sb="4" eb="5">
      <t>トキ</t>
    </rPh>
    <rPh sb="6" eb="7">
      <t>アタイ</t>
    </rPh>
    <rPh sb="8" eb="10">
      <t>メヤス</t>
    </rPh>
    <rPh sb="11" eb="13">
      <t>フヒョウ</t>
    </rPh>
    <rPh sb="17" eb="19">
      <t>サイシュウ</t>
    </rPh>
    <rPh sb="19" eb="21">
      <t>ケッテイ</t>
    </rPh>
    <rPh sb="21" eb="22">
      <t>チ</t>
    </rPh>
    <phoneticPr fontId="1"/>
  </si>
  <si>
    <t>Df2</t>
    <phoneticPr fontId="1"/>
  </si>
  <si>
    <t>σs</t>
    <phoneticPr fontId="1"/>
  </si>
  <si>
    <t>tf</t>
    <phoneticPr fontId="1"/>
  </si>
  <si>
    <t>df決定値</t>
    <rPh sb="2" eb="4">
      <t>ケッテイ</t>
    </rPh>
    <rPh sb="4" eb="5">
      <t>チ</t>
    </rPh>
    <phoneticPr fontId="1"/>
  </si>
  <si>
    <t>表3.6</t>
    <rPh sb="0" eb="1">
      <t>ヒョウ</t>
    </rPh>
    <phoneticPr fontId="1"/>
  </si>
  <si>
    <t>取付ボルト</t>
    <rPh sb="0" eb="2">
      <t>トリツケ</t>
    </rPh>
    <phoneticPr fontId="1"/>
  </si>
  <si>
    <t>取付ボルト谷径</t>
    <rPh sb="0" eb="2">
      <t>トリツケ</t>
    </rPh>
    <rPh sb="5" eb="7">
      <t>タニケイ</t>
    </rPh>
    <phoneticPr fontId="1"/>
  </si>
  <si>
    <t>d1</t>
    <phoneticPr fontId="1"/>
  </si>
  <si>
    <t>止め金具取付ボルトの直径をもとに付表5より選ぶ</t>
    <rPh sb="0" eb="1">
      <t>ト</t>
    </rPh>
    <rPh sb="2" eb="4">
      <t>カナグ</t>
    </rPh>
    <rPh sb="4" eb="6">
      <t>トリツケ</t>
    </rPh>
    <rPh sb="10" eb="12">
      <t>チョッケイ</t>
    </rPh>
    <rPh sb="16" eb="18">
      <t>フヒョウ</t>
    </rPh>
    <rPh sb="21" eb="22">
      <t>エラ</t>
    </rPh>
    <phoneticPr fontId="1"/>
  </si>
  <si>
    <t>d2</t>
    <phoneticPr fontId="1"/>
  </si>
  <si>
    <t>σt</t>
    <phoneticPr fontId="1"/>
  </si>
  <si>
    <t>G4をもとにR10より選択</t>
    <rPh sb="11" eb="13">
      <t>センタク</t>
    </rPh>
    <phoneticPr fontId="1"/>
  </si>
  <si>
    <t>決定値</t>
    <rPh sb="0" eb="2">
      <t>ケッテイ</t>
    </rPh>
    <rPh sb="2" eb="3">
      <t>チ</t>
    </rPh>
    <phoneticPr fontId="1"/>
  </si>
  <si>
    <t>π</t>
    <phoneticPr fontId="1"/>
  </si>
  <si>
    <t>Lh</t>
    <phoneticPr fontId="1"/>
  </si>
  <si>
    <t>4章</t>
    <rPh sb="1" eb="2">
      <t>ショウ</t>
    </rPh>
    <phoneticPr fontId="1"/>
  </si>
  <si>
    <t>R</t>
    <phoneticPr fontId="1"/>
  </si>
  <si>
    <t>5章例題1</t>
    <rPh sb="1" eb="2">
      <t>ショウ</t>
    </rPh>
    <rPh sb="2" eb="4">
      <t>レイダイ</t>
    </rPh>
    <phoneticPr fontId="1"/>
  </si>
  <si>
    <t>ZB'</t>
  </si>
  <si>
    <t>5章例題2</t>
    <rPh sb="1" eb="2">
      <t>ショウ</t>
    </rPh>
    <rPh sb="2" eb="4">
      <t>レイダイ</t>
    </rPh>
    <phoneticPr fontId="1"/>
  </si>
  <si>
    <t>fv</t>
    <phoneticPr fontId="1"/>
  </si>
  <si>
    <t>t</t>
    <phoneticPr fontId="1"/>
  </si>
  <si>
    <t>dA</t>
    <phoneticPr fontId="1"/>
  </si>
  <si>
    <t>dB</t>
    <phoneticPr fontId="1"/>
  </si>
  <si>
    <t>dC</t>
    <phoneticPr fontId="1"/>
  </si>
  <si>
    <t>dD</t>
    <phoneticPr fontId="1"/>
  </si>
  <si>
    <t>クランクハンドル長さ</t>
    <rPh sb="8" eb="9">
      <t>ナガ</t>
    </rPh>
    <phoneticPr fontId="1"/>
  </si>
  <si>
    <t>計算値</t>
    <rPh sb="0" eb="3">
      <t>ケイサンチ</t>
    </rPh>
    <phoneticPr fontId="1"/>
  </si>
  <si>
    <t>i</t>
    <phoneticPr fontId="1"/>
  </si>
  <si>
    <t>切り上げ値</t>
    <rPh sb="0" eb="1">
      <t>キ</t>
    </rPh>
    <rPh sb="2" eb="3">
      <t>ア</t>
    </rPh>
    <rPh sb="4" eb="5">
      <t>チ</t>
    </rPh>
    <phoneticPr fontId="1"/>
  </si>
  <si>
    <t>σb</t>
    <phoneticPr fontId="1"/>
  </si>
  <si>
    <t>h</t>
    <phoneticPr fontId="1"/>
  </si>
  <si>
    <t>dkA</t>
    <phoneticPr fontId="1"/>
  </si>
  <si>
    <t>dkB</t>
    <phoneticPr fontId="1"/>
  </si>
  <si>
    <t>dkC</t>
    <phoneticPr fontId="1"/>
  </si>
  <si>
    <t>dkD</t>
    <phoneticPr fontId="1"/>
  </si>
  <si>
    <t>荷重(kN)</t>
    <rPh sb="0" eb="2">
      <t>カジュウ</t>
    </rPh>
    <phoneticPr fontId="1"/>
  </si>
  <si>
    <t>2段変速時</t>
    <rPh sb="1" eb="2">
      <t>ダン</t>
    </rPh>
    <rPh sb="2" eb="4">
      <t>ヘンソク</t>
    </rPh>
    <rPh sb="4" eb="5">
      <t>ジ</t>
    </rPh>
    <phoneticPr fontId="1"/>
  </si>
  <si>
    <t>ZD'</t>
  </si>
  <si>
    <t>F0</t>
    <phoneticPr fontId="1"/>
  </si>
  <si>
    <t>√i</t>
  </si>
  <si>
    <t>TⅠ</t>
    <phoneticPr fontId="1"/>
  </si>
  <si>
    <t>hK</t>
    <phoneticPr fontId="1"/>
  </si>
  <si>
    <t>dfA</t>
    <phoneticPr fontId="1"/>
  </si>
  <si>
    <t>dfB</t>
    <phoneticPr fontId="1"/>
  </si>
  <si>
    <t>dfC</t>
    <phoneticPr fontId="1"/>
  </si>
  <si>
    <t>dfD</t>
    <phoneticPr fontId="1"/>
  </si>
  <si>
    <t>計画値</t>
    <rPh sb="0" eb="2">
      <t>ケイカク</t>
    </rPh>
    <rPh sb="2" eb="3">
      <t>チ</t>
    </rPh>
    <phoneticPr fontId="1"/>
  </si>
  <si>
    <t>i1</t>
    <phoneticPr fontId="1"/>
  </si>
  <si>
    <t>i2</t>
    <phoneticPr fontId="1"/>
  </si>
  <si>
    <t>TⅡ</t>
    <phoneticPr fontId="1"/>
  </si>
  <si>
    <t>hf</t>
    <phoneticPr fontId="1"/>
  </si>
  <si>
    <t>無駄歯</t>
    <rPh sb="0" eb="2">
      <t>ムダ</t>
    </rPh>
    <rPh sb="2" eb="3">
      <t>バ</t>
    </rPh>
    <phoneticPr fontId="1"/>
  </si>
  <si>
    <t>η</t>
    <phoneticPr fontId="1"/>
  </si>
  <si>
    <t>i1*i2</t>
    <phoneticPr fontId="1"/>
  </si>
  <si>
    <t>ZB</t>
    <phoneticPr fontId="1"/>
  </si>
  <si>
    <t>ZD</t>
    <phoneticPr fontId="1"/>
  </si>
  <si>
    <t>2段減速</t>
    <rPh sb="1" eb="2">
      <t>ダン</t>
    </rPh>
    <rPh sb="2" eb="4">
      <t>ゲンソク</t>
    </rPh>
    <phoneticPr fontId="1"/>
  </si>
  <si>
    <t>+-</t>
    <phoneticPr fontId="1"/>
  </si>
  <si>
    <t>-+</t>
    <phoneticPr fontId="1"/>
  </si>
  <si>
    <t>F'</t>
    <phoneticPr fontId="1"/>
  </si>
  <si>
    <t>C</t>
    <phoneticPr fontId="1"/>
  </si>
  <si>
    <t>大きいほうの減速比を設定 i2自動算出.exeで出力されるoutput.txtに記載された値を入力</t>
    <rPh sb="15" eb="19">
      <t>ジドウサンシュツ</t>
    </rPh>
    <rPh sb="24" eb="26">
      <t>シュツリョク</t>
    </rPh>
    <rPh sb="40" eb="42">
      <t>キサイ</t>
    </rPh>
    <rPh sb="45" eb="46">
      <t>アタイ</t>
    </rPh>
    <rPh sb="47" eb="49">
      <t>ニュウリョク</t>
    </rPh>
    <phoneticPr fontId="1"/>
  </si>
  <si>
    <t>ZA</t>
    <phoneticPr fontId="1"/>
  </si>
  <si>
    <t>最小公倍数</t>
    <rPh sb="0" eb="2">
      <t>サイショウ</t>
    </rPh>
    <rPh sb="2" eb="5">
      <t>コウバイスウ</t>
    </rPh>
    <phoneticPr fontId="1"/>
  </si>
  <si>
    <t>=ZC</t>
    <phoneticPr fontId="1"/>
  </si>
  <si>
    <t>参考</t>
  </si>
  <si>
    <t>ε&gt;=1.2になるように設計できればなお良</t>
    <rPh sb="12" eb="14">
      <t>セッケイ</t>
    </rPh>
    <rPh sb="20" eb="21">
      <t>ヨ</t>
    </rPh>
    <phoneticPr fontId="1"/>
  </si>
  <si>
    <t>ZA,ZB</t>
    <phoneticPr fontId="1"/>
  </si>
  <si>
    <t>ZC,ZD</t>
    <phoneticPr fontId="1"/>
  </si>
  <si>
    <t>ZA,ZB,ZC,ZD</t>
    <phoneticPr fontId="1"/>
  </si>
  <si>
    <t>εAB =εBC</t>
  </si>
  <si>
    <t>元</t>
    <rPh sb="0" eb="1">
      <t>モト</t>
    </rPh>
    <phoneticPr fontId="1"/>
  </si>
  <si>
    <t>Fc</t>
    <phoneticPr fontId="1"/>
  </si>
  <si>
    <t>F'-Fc</t>
    <phoneticPr fontId="1"/>
  </si>
  <si>
    <t>cos</t>
    <phoneticPr fontId="1"/>
  </si>
  <si>
    <t>εCD</t>
    <phoneticPr fontId="1"/>
  </si>
  <si>
    <t>sin</t>
    <phoneticPr fontId="1"/>
  </si>
  <si>
    <t>自動演算用</t>
    <rPh sb="0" eb="2">
      <t>ジドウ</t>
    </rPh>
    <rPh sb="2" eb="5">
      <t>エンザンヨウ</t>
    </rPh>
    <phoneticPr fontId="1"/>
  </si>
  <si>
    <t>K</t>
    <phoneticPr fontId="1"/>
  </si>
  <si>
    <t>歯幅係数</t>
    <rPh sb="0" eb="1">
      <t>ハ</t>
    </rPh>
    <rPh sb="1" eb="2">
      <t>ハバ</t>
    </rPh>
    <rPh sb="2" eb="4">
      <t>ケイスウ</t>
    </rPh>
    <phoneticPr fontId="1"/>
  </si>
  <si>
    <t>ε:かみ合い率:一般に1.2以上で</t>
    <rPh sb="4" eb="5">
      <t>ア</t>
    </rPh>
    <rPh sb="6" eb="7">
      <t>リツ</t>
    </rPh>
    <rPh sb="8" eb="10">
      <t>イッパン</t>
    </rPh>
    <phoneticPr fontId="1"/>
  </si>
  <si>
    <t>ZA+2</t>
    <phoneticPr fontId="1"/>
  </si>
  <si>
    <t>y</t>
    <phoneticPr fontId="1"/>
  </si>
  <si>
    <t>歯車の滑らかな運転を望める</t>
    <rPh sb="0" eb="2">
      <t>ハグルマ</t>
    </rPh>
    <rPh sb="3" eb="4">
      <t>ナメ</t>
    </rPh>
    <rPh sb="7" eb="9">
      <t>ウンテン</t>
    </rPh>
    <rPh sb="10" eb="11">
      <t>ノゾ</t>
    </rPh>
    <phoneticPr fontId="1"/>
  </si>
  <si>
    <t>歯形係数</t>
    <rPh sb="0" eb="2">
      <t>ハガタ</t>
    </rPh>
    <rPh sb="2" eb="4">
      <t>ケイスウ</t>
    </rPh>
    <phoneticPr fontId="1"/>
  </si>
  <si>
    <t>ZB+2</t>
    <phoneticPr fontId="1"/>
  </si>
  <si>
    <t>σ0</t>
    <phoneticPr fontId="1"/>
  </si>
  <si>
    <t>小さく見た後の値</t>
    <rPh sb="0" eb="1">
      <t>チイ</t>
    </rPh>
    <rPh sb="3" eb="4">
      <t>ミ</t>
    </rPh>
    <rPh sb="5" eb="6">
      <t>アト</t>
    </rPh>
    <rPh sb="7" eb="8">
      <t>アタイ</t>
    </rPh>
    <phoneticPr fontId="1"/>
  </si>
  <si>
    <t>ZD+2</t>
    <phoneticPr fontId="1"/>
  </si>
  <si>
    <t>v</t>
    <phoneticPr fontId="1"/>
  </si>
  <si>
    <t>歯車周速</t>
    <rPh sb="0" eb="2">
      <t>ハグルマ</t>
    </rPh>
    <rPh sb="2" eb="4">
      <t>シュウソク</t>
    </rPh>
    <phoneticPr fontId="1"/>
  </si>
  <si>
    <t>ZA+ZB</t>
    <phoneticPr fontId="1"/>
  </si>
  <si>
    <t>fw</t>
    <phoneticPr fontId="1"/>
  </si>
  <si>
    <t>荷重係数</t>
    <rPh sb="0" eb="2">
      <t>カジュウ</t>
    </rPh>
    <rPh sb="2" eb="4">
      <t>ケイスウ</t>
    </rPh>
    <phoneticPr fontId="1"/>
  </si>
  <si>
    <t>ZC+ZD</t>
    <phoneticPr fontId="1"/>
  </si>
  <si>
    <t>モジュール決定値</t>
    <rPh sb="5" eb="7">
      <t>ケッテイ</t>
    </rPh>
    <rPh sb="7" eb="8">
      <t>チ</t>
    </rPh>
    <phoneticPr fontId="1"/>
  </si>
  <si>
    <t>k</t>
    <phoneticPr fontId="1"/>
  </si>
  <si>
    <t>dc</t>
    <phoneticPr fontId="1"/>
  </si>
  <si>
    <t>ワイヤーロープ径</t>
    <rPh sb="7" eb="8">
      <t>ケイ</t>
    </rPh>
    <phoneticPr fontId="1"/>
  </si>
  <si>
    <t>圧力角α</t>
    <rPh sb="0" eb="2">
      <t>アツリョク</t>
    </rPh>
    <rPh sb="2" eb="3">
      <t>カク</t>
    </rPh>
    <phoneticPr fontId="1"/>
  </si>
  <si>
    <t>deg</t>
    <phoneticPr fontId="1"/>
  </si>
  <si>
    <t>rad</t>
    <phoneticPr fontId="1"/>
  </si>
  <si>
    <t>例題6.1</t>
    <rPh sb="0" eb="2">
      <t>レイダイ</t>
    </rPh>
    <phoneticPr fontId="1"/>
  </si>
  <si>
    <t>(a)</t>
    <phoneticPr fontId="1"/>
  </si>
  <si>
    <t>Pc</t>
    <phoneticPr fontId="1"/>
  </si>
  <si>
    <t>例題6.2</t>
    <rPh sb="0" eb="2">
      <t>レイダイ</t>
    </rPh>
    <phoneticPr fontId="1"/>
  </si>
  <si>
    <t>例題6.3</t>
    <rPh sb="0" eb="2">
      <t>レイダイ</t>
    </rPh>
    <phoneticPr fontId="1"/>
  </si>
  <si>
    <t>6.13式の右辺に相当</t>
    <rPh sb="4" eb="5">
      <t>シキ</t>
    </rPh>
    <rPh sb="6" eb="8">
      <t>ウヘン</t>
    </rPh>
    <rPh sb="9" eb="11">
      <t>ソウトウ</t>
    </rPh>
    <phoneticPr fontId="1"/>
  </si>
  <si>
    <t>四捨五入値</t>
    <rPh sb="0" eb="4">
      <t>シシャゴニュウ</t>
    </rPh>
    <rPh sb="4" eb="5">
      <t>チ</t>
    </rPh>
    <phoneticPr fontId="1"/>
  </si>
  <si>
    <t>lp</t>
    <phoneticPr fontId="1"/>
  </si>
  <si>
    <t>巻胴直径</t>
    <rPh sb="0" eb="1">
      <t>マキ</t>
    </rPh>
    <rPh sb="1" eb="2">
      <t>ドウ</t>
    </rPh>
    <rPh sb="2" eb="4">
      <t>チョッケイ</t>
    </rPh>
    <phoneticPr fontId="1"/>
  </si>
  <si>
    <t>Φ</t>
    <phoneticPr fontId="1"/>
  </si>
  <si>
    <t>歯幅係数　表6.3</t>
    <rPh sb="0" eb="1">
      <t>ハ</t>
    </rPh>
    <rPh sb="1" eb="2">
      <t>ハバ</t>
    </rPh>
    <rPh sb="2" eb="4">
      <t>ケイスウ</t>
    </rPh>
    <rPh sb="5" eb="6">
      <t>ヒョウ</t>
    </rPh>
    <phoneticPr fontId="1"/>
  </si>
  <si>
    <t>切り上げ値    10~18の範囲内にあることを確認</t>
    <rPh sb="0" eb="1">
      <t>キ</t>
    </rPh>
    <rPh sb="2" eb="3">
      <t>ア</t>
    </rPh>
    <rPh sb="4" eb="5">
      <t>チ</t>
    </rPh>
    <rPh sb="15" eb="18">
      <t>ハンイナイ</t>
    </rPh>
    <rPh sb="24" eb="26">
      <t>カクニン</t>
    </rPh>
    <phoneticPr fontId="1"/>
  </si>
  <si>
    <t>DR</t>
    <phoneticPr fontId="1"/>
  </si>
  <si>
    <t>d'</t>
    <phoneticPr fontId="1"/>
  </si>
  <si>
    <t>表6.2</t>
    <rPh sb="0" eb="1">
      <t>ヒョウ</t>
    </rPh>
    <phoneticPr fontId="1"/>
  </si>
  <si>
    <t>仮決定値</t>
  </si>
  <si>
    <t>z</t>
    <phoneticPr fontId="1"/>
  </si>
  <si>
    <t>dp</t>
    <phoneticPr fontId="1"/>
  </si>
  <si>
    <t>歯数</t>
    <rPh sb="0" eb="2">
      <t>ハスウ</t>
    </rPh>
    <phoneticPr fontId="1"/>
  </si>
  <si>
    <t>t0</t>
    <phoneticPr fontId="1"/>
  </si>
  <si>
    <t>b1</t>
    <phoneticPr fontId="1"/>
  </si>
  <si>
    <t>係数</t>
    <rPh sb="0" eb="2">
      <t>ケイスウ</t>
    </rPh>
    <phoneticPr fontId="1"/>
  </si>
  <si>
    <t>仮決定値 baに相当</t>
    <rPh sb="0" eb="3">
      <t>カリケッテイ</t>
    </rPh>
    <rPh sb="3" eb="4">
      <t>チ</t>
    </rPh>
    <rPh sb="8" eb="10">
      <t>ソウトウ</t>
    </rPh>
    <phoneticPr fontId="1"/>
  </si>
  <si>
    <t>(b)</t>
    <phoneticPr fontId="1"/>
  </si>
  <si>
    <t>T</t>
    <phoneticPr fontId="1"/>
  </si>
  <si>
    <t>I</t>
    <phoneticPr fontId="1"/>
  </si>
  <si>
    <t>3章よりドラムフランジ厚さ</t>
    <rPh sb="1" eb="2">
      <t>ショウ</t>
    </rPh>
    <rPh sb="11" eb="12">
      <t>アツ</t>
    </rPh>
    <phoneticPr fontId="1"/>
  </si>
  <si>
    <t>リム厚さ</t>
    <rPh sb="2" eb="3">
      <t>アツ</t>
    </rPh>
    <phoneticPr fontId="1"/>
  </si>
  <si>
    <t>( c)</t>
    <phoneticPr fontId="1"/>
  </si>
  <si>
    <t>T/t</t>
    <phoneticPr fontId="1"/>
  </si>
  <si>
    <t>E6を受けて表5.6より</t>
    <rPh sb="3" eb="4">
      <t>ウ</t>
    </rPh>
    <rPh sb="6" eb="7">
      <t>ヒョウ</t>
    </rPh>
    <phoneticPr fontId="1"/>
  </si>
  <si>
    <t>1.5以下の時、図6.3の(a)を適用、
1.5以上の時、図6.3の(b)を適用する</t>
    <rPh sb="3" eb="5">
      <t>イカ</t>
    </rPh>
    <rPh sb="6" eb="7">
      <t>トキ</t>
    </rPh>
    <rPh sb="8" eb="9">
      <t>ズ</t>
    </rPh>
    <rPh sb="17" eb="19">
      <t>テキヨウ</t>
    </rPh>
    <rPh sb="24" eb="26">
      <t>イジョウ</t>
    </rPh>
    <rPh sb="27" eb="28">
      <t>トキ</t>
    </rPh>
    <rPh sb="29" eb="30">
      <t>ズ</t>
    </rPh>
    <rPh sb="38" eb="40">
      <t>テキヨウ</t>
    </rPh>
    <phoneticPr fontId="1"/>
  </si>
  <si>
    <t>μ</t>
    <phoneticPr fontId="1"/>
  </si>
  <si>
    <t>λ</t>
    <phoneticPr fontId="1"/>
  </si>
  <si>
    <t>90√n</t>
    <phoneticPr fontId="1"/>
  </si>
  <si>
    <t>摩擦係数</t>
    <rPh sb="0" eb="2">
      <t>マサツ</t>
    </rPh>
    <rPh sb="2" eb="4">
      <t>ケイスウ</t>
    </rPh>
    <phoneticPr fontId="1"/>
  </si>
  <si>
    <t>T/tの条件分岐自動化済</t>
    <rPh sb="4" eb="6">
      <t>ジョウケン</t>
    </rPh>
    <rPh sb="6" eb="8">
      <t>ブンキ</t>
    </rPh>
    <rPh sb="7" eb="10">
      <t>ジドウカ</t>
    </rPh>
    <rPh sb="10" eb="11">
      <t>ズ</t>
    </rPh>
    <phoneticPr fontId="1"/>
  </si>
  <si>
    <t>bb</t>
  </si>
  <si>
    <t>決定値</t>
    <rPh sb="0" eb="2">
      <t>ケッテイ</t>
    </rPh>
    <phoneticPr fontId="1"/>
  </si>
  <si>
    <t>λより大きいことを確認</t>
    <rPh sb="3" eb="4">
      <t>オオ</t>
    </rPh>
    <rPh sb="9" eb="11">
      <t>カクニン</t>
    </rPh>
    <phoneticPr fontId="1"/>
  </si>
  <si>
    <t>採用値 bbに相当</t>
  </si>
  <si>
    <t>σ</t>
    <phoneticPr fontId="1"/>
  </si>
  <si>
    <t>(d)</t>
    <phoneticPr fontId="1"/>
  </si>
  <si>
    <t>ρ</t>
    <phoneticPr fontId="1"/>
  </si>
  <si>
    <t>摩擦角(deg)</t>
    <rPh sb="0" eb="2">
      <t>マサツ</t>
    </rPh>
    <rPh sb="2" eb="3">
      <t>カク</t>
    </rPh>
    <phoneticPr fontId="1"/>
  </si>
  <si>
    <t>Pr</t>
  </si>
  <si>
    <t>切り上げ値(deg)</t>
    <rPh sb="0" eb="1">
      <t>キ</t>
    </rPh>
    <rPh sb="2" eb="3">
      <t>ア</t>
    </rPh>
    <rPh sb="4" eb="5">
      <t>チ</t>
    </rPh>
    <phoneticPr fontId="1"/>
  </si>
  <si>
    <t>6.13式の左辺に相当</t>
    <rPh sb="4" eb="5">
      <t>シキ</t>
    </rPh>
    <rPh sb="6" eb="8">
      <t>サヘン</t>
    </rPh>
    <rPh sb="9" eb="11">
      <t>ソウトウ</t>
    </rPh>
    <phoneticPr fontId="1"/>
  </si>
  <si>
    <t>I6を受けた決定値</t>
    <rPh sb="3" eb="4">
      <t>ウ</t>
    </rPh>
    <rPh sb="6" eb="8">
      <t>ケッテイ</t>
    </rPh>
    <rPh sb="8" eb="9">
      <t>チ</t>
    </rPh>
    <phoneticPr fontId="1"/>
  </si>
  <si>
    <t>Pr-P</t>
    <phoneticPr fontId="1"/>
  </si>
  <si>
    <t>マイナスでないことを確認</t>
    <rPh sb="10" eb="12">
      <t>カクニン</t>
    </rPh>
    <phoneticPr fontId="1"/>
  </si>
  <si>
    <t>隙間</t>
    <rPh sb="0" eb="2">
      <t>スキマ</t>
    </rPh>
    <phoneticPr fontId="1"/>
  </si>
  <si>
    <t>dの2/3倍</t>
    <rPh sb="5" eb="6">
      <t>バイ</t>
    </rPh>
    <phoneticPr fontId="1"/>
  </si>
  <si>
    <t>図6.6</t>
    <rPh sb="0" eb="1">
      <t>ズ</t>
    </rPh>
    <phoneticPr fontId="1"/>
  </si>
  <si>
    <t>σD</t>
    <phoneticPr fontId="1"/>
  </si>
  <si>
    <t>a</t>
    <phoneticPr fontId="1"/>
  </si>
  <si>
    <t>安全率</t>
    <rPh sb="0" eb="2">
      <t>アンゼン</t>
    </rPh>
    <rPh sb="2" eb="3">
      <t>リツ</t>
    </rPh>
    <phoneticPr fontId="1"/>
  </si>
  <si>
    <t>L2を受けて表6.8より決定する</t>
    <rPh sb="3" eb="4">
      <t>ウ</t>
    </rPh>
    <rPh sb="6" eb="7">
      <t>ヒョウ</t>
    </rPh>
    <rPh sb="12" eb="14">
      <t>ケッテイ</t>
    </rPh>
    <phoneticPr fontId="1"/>
  </si>
  <si>
    <t>呼び径</t>
    <rPh sb="0" eb="1">
      <t>ヨ</t>
    </rPh>
    <rPh sb="2" eb="3">
      <t>ケイ</t>
    </rPh>
    <phoneticPr fontId="1"/>
  </si>
  <si>
    <t>例題7.1</t>
    <rPh sb="0" eb="2">
      <t>レイダイ</t>
    </rPh>
    <phoneticPr fontId="1"/>
  </si>
  <si>
    <t>DB</t>
    <phoneticPr fontId="1"/>
  </si>
  <si>
    <t>例題7.2</t>
    <rPh sb="0" eb="2">
      <t>レイダイ</t>
    </rPh>
    <phoneticPr fontId="1"/>
  </si>
  <si>
    <t>例題7.3</t>
    <rPh sb="0" eb="2">
      <t>レイダイ</t>
    </rPh>
    <phoneticPr fontId="1"/>
  </si>
  <si>
    <t>例題7.4</t>
    <rPh sb="0" eb="2">
      <t>レイダイ</t>
    </rPh>
    <phoneticPr fontId="1"/>
  </si>
  <si>
    <t>計算値</t>
    <rPh sb="0" eb="2">
      <t>ケイサン</t>
    </rPh>
    <rPh sb="2" eb="3">
      <t>チ</t>
    </rPh>
    <phoneticPr fontId="1"/>
  </si>
  <si>
    <t>×1.8</t>
    <phoneticPr fontId="1"/>
  </si>
  <si>
    <t>Q0</t>
    <phoneticPr fontId="1"/>
  </si>
  <si>
    <t>×2</t>
    <phoneticPr fontId="1"/>
  </si>
  <si>
    <t>1.3の時</t>
    <rPh sb="4" eb="5">
      <t>トキ</t>
    </rPh>
    <phoneticPr fontId="1"/>
  </si>
  <si>
    <t>d0</t>
    <phoneticPr fontId="1"/>
  </si>
  <si>
    <t>DB(決定値)</t>
    <rPh sb="3" eb="5">
      <t>ケッテイ</t>
    </rPh>
    <rPh sb="5" eb="6">
      <t>チ</t>
    </rPh>
    <phoneticPr fontId="1"/>
  </si>
  <si>
    <t>T1</t>
    <phoneticPr fontId="1"/>
  </si>
  <si>
    <t>1.6の時</t>
    <rPh sb="4" eb="5">
      <t>トキ</t>
    </rPh>
    <phoneticPr fontId="1"/>
  </si>
  <si>
    <t>計算値　採用したねじに合わせる</t>
    <rPh sb="0" eb="3">
      <t>ケイサンチ</t>
    </rPh>
    <rPh sb="4" eb="6">
      <t>サイヨウ</t>
    </rPh>
    <rPh sb="11" eb="12">
      <t>ア</t>
    </rPh>
    <phoneticPr fontId="1"/>
  </si>
  <si>
    <t>仮決定値</t>
    <rPh sb="0" eb="1">
      <t>カリ</t>
    </rPh>
    <rPh sb="1" eb="3">
      <t>ケッテイ</t>
    </rPh>
    <rPh sb="3" eb="4">
      <t>チ</t>
    </rPh>
    <phoneticPr fontId="1"/>
  </si>
  <si>
    <t>d3</t>
    <phoneticPr fontId="1"/>
  </si>
  <si>
    <t>T2</t>
    <phoneticPr fontId="1"/>
  </si>
  <si>
    <t>M</t>
    <phoneticPr fontId="1"/>
  </si>
  <si>
    <t>d3と比べて大きいほうを選択する</t>
    <rPh sb="3" eb="4">
      <t>クラ</t>
    </rPh>
    <rPh sb="6" eb="7">
      <t>オオ</t>
    </rPh>
    <rPh sb="12" eb="14">
      <t>センタク</t>
    </rPh>
    <phoneticPr fontId="1"/>
  </si>
  <si>
    <t>θ</t>
    <phoneticPr fontId="1"/>
  </si>
  <si>
    <t>p1(N/mm^2)</t>
    <phoneticPr fontId="1"/>
  </si>
  <si>
    <t>N/cm^2</t>
    <phoneticPr fontId="1"/>
  </si>
  <si>
    <t>e^μθ</t>
    <phoneticPr fontId="1"/>
  </si>
  <si>
    <t>←表7.5</t>
    <rPh sb="1" eb="2">
      <t>ヒョウ</t>
    </rPh>
    <phoneticPr fontId="1"/>
  </si>
  <si>
    <t>p2</t>
    <phoneticPr fontId="1"/>
  </si>
  <si>
    <t>整数化</t>
    <rPh sb="0" eb="2">
      <t>セイスウ</t>
    </rPh>
    <rPh sb="2" eb="3">
      <t>カ</t>
    </rPh>
    <phoneticPr fontId="1"/>
  </si>
  <si>
    <t>調節ボルトの直径の2倍を決定値にする</t>
    <rPh sb="0" eb="2">
      <t>チョウセツ</t>
    </rPh>
    <rPh sb="6" eb="8">
      <t>チョッケイ</t>
    </rPh>
    <rPh sb="10" eb="11">
      <t>バイ</t>
    </rPh>
    <rPh sb="12" eb="14">
      <t>ケッテイ</t>
    </rPh>
    <rPh sb="14" eb="15">
      <t>チ</t>
    </rPh>
    <phoneticPr fontId="1"/>
  </si>
  <si>
    <t>t2</t>
    <phoneticPr fontId="1"/>
  </si>
  <si>
    <t>W(kN)</t>
    <phoneticPr fontId="1"/>
  </si>
  <si>
    <t>pm</t>
    <phoneticPr fontId="1"/>
  </si>
  <si>
    <t>e1</t>
    <phoneticPr fontId="1"/>
  </si>
  <si>
    <t>←表7.1</t>
  </si>
  <si>
    <t>ブレーキライニングの幅(=裏張りの幅)</t>
    <rPh sb="10" eb="11">
      <t>ハバ</t>
    </rPh>
    <rPh sb="13" eb="14">
      <t>ウラ</t>
    </rPh>
    <rPh sb="14" eb="15">
      <t>ハ</t>
    </rPh>
    <rPh sb="17" eb="18">
      <t>ハバ</t>
    </rPh>
    <phoneticPr fontId="1"/>
  </si>
  <si>
    <t>e2</t>
    <phoneticPr fontId="1"/>
  </si>
  <si>
    <t>t1</t>
    <phoneticPr fontId="1"/>
  </si>
  <si>
    <t>データシートの上側</t>
    <rPh sb="7" eb="8">
      <t>ウエ</t>
    </rPh>
    <rPh sb="8" eb="9">
      <t>ガワ</t>
    </rPh>
    <phoneticPr fontId="1"/>
  </si>
  <si>
    <t>7.25式(a-a')</t>
    <rPh sb="4" eb="5">
      <t>シキ</t>
    </rPh>
    <phoneticPr fontId="1"/>
  </si>
  <si>
    <t>裏張りの厚さ</t>
  </si>
  <si>
    <t>データシートの下側</t>
    <rPh sb="7" eb="9">
      <t>シタガワ</t>
    </rPh>
    <phoneticPr fontId="1"/>
  </si>
  <si>
    <t>7.26式(b-b')</t>
    <rPh sb="4" eb="5">
      <t>シキ</t>
    </rPh>
    <phoneticPr fontId="1"/>
  </si>
  <si>
    <t>小さく見積った後の値</t>
    <rPh sb="0" eb="1">
      <t>チイ</t>
    </rPh>
    <rPh sb="3" eb="5">
      <t>ミツモ</t>
    </rPh>
    <rPh sb="7" eb="8">
      <t>ゴ</t>
    </rPh>
    <rPh sb="9" eb="10">
      <t>アタイ</t>
    </rPh>
    <phoneticPr fontId="1"/>
  </si>
  <si>
    <t>J2を受けて決定する　調節金具取付ピン</t>
    <rPh sb="3" eb="4">
      <t>ウ</t>
    </rPh>
    <rPh sb="6" eb="8">
      <t>ケッテイ</t>
    </rPh>
    <rPh sb="11" eb="13">
      <t>チョウセツ</t>
    </rPh>
    <rPh sb="13" eb="15">
      <t>カナグ</t>
    </rPh>
    <rPh sb="15" eb="17">
      <t>トリツケ</t>
    </rPh>
    <phoneticPr fontId="1"/>
  </si>
  <si>
    <t>f</t>
    <phoneticPr fontId="1"/>
  </si>
  <si>
    <t>表4.3</t>
    <rPh sb="0" eb="1">
      <t>ヒョウ</t>
    </rPh>
    <phoneticPr fontId="1"/>
  </si>
  <si>
    <t>l1</t>
    <phoneticPr fontId="1"/>
  </si>
  <si>
    <t>7.5図のl1</t>
    <rPh sb="3" eb="4">
      <t>ズ</t>
    </rPh>
    <phoneticPr fontId="1"/>
  </si>
  <si>
    <t>=ブレーキレバー有効長さ</t>
    <phoneticPr fontId="1"/>
  </si>
  <si>
    <t>ブレーキレバーの幅</t>
    <rPh sb="8" eb="9">
      <t>ハバ</t>
    </rPh>
    <phoneticPr fontId="1"/>
  </si>
  <si>
    <t>M2を受けての決定値(7.13表)　リベット径</t>
    <rPh sb="3" eb="4">
      <t>ウ</t>
    </rPh>
    <rPh sb="7" eb="9">
      <t>ケッテイ</t>
    </rPh>
    <rPh sb="9" eb="10">
      <t>チ</t>
    </rPh>
    <rPh sb="15" eb="16">
      <t>ヒョウ</t>
    </rPh>
    <rPh sb="22" eb="23">
      <t>ケイ</t>
    </rPh>
    <phoneticPr fontId="1"/>
  </si>
  <si>
    <t>ベルト厚さ</t>
    <rPh sb="3" eb="4">
      <t>アツ</t>
    </rPh>
    <phoneticPr fontId="1"/>
  </si>
  <si>
    <t>リベット長さの決定値(7.13表)</t>
    <rPh sb="4" eb="5">
      <t>ナガ</t>
    </rPh>
    <rPh sb="7" eb="9">
      <t>ケッテイ</t>
    </rPh>
    <rPh sb="9" eb="10">
      <t>チ</t>
    </rPh>
    <rPh sb="15" eb="16">
      <t>ヒョウ</t>
    </rPh>
    <phoneticPr fontId="1"/>
  </si>
  <si>
    <t>リベット本数</t>
    <rPh sb="4" eb="6">
      <t>ホンスウ</t>
    </rPh>
    <phoneticPr fontId="1"/>
  </si>
  <si>
    <t>リベットの穴径(7.13表)</t>
    <rPh sb="5" eb="7">
      <t>アナケイ</t>
    </rPh>
    <rPh sb="12" eb="13">
      <t>ヒョウ</t>
    </rPh>
    <phoneticPr fontId="1"/>
  </si>
  <si>
    <t>Q2,Q3を受けて決定する 調節ボルト外径</t>
    <rPh sb="6" eb="7">
      <t>ウ</t>
    </rPh>
    <rPh sb="9" eb="11">
      <t>ケッテイ</t>
    </rPh>
    <rPh sb="14" eb="16">
      <t>チョウセツ</t>
    </rPh>
    <rPh sb="19" eb="21">
      <t>ガイケイ</t>
    </rPh>
    <phoneticPr fontId="1"/>
  </si>
  <si>
    <t>調節ボルト呼び</t>
    <rPh sb="0" eb="2">
      <t>チョウセツ</t>
    </rPh>
    <rPh sb="5" eb="6">
      <t>ヨ</t>
    </rPh>
    <phoneticPr fontId="1"/>
  </si>
  <si>
    <t>3.5表から決定する</t>
    <rPh sb="3" eb="4">
      <t>ヒョウ</t>
    </rPh>
    <rPh sb="6" eb="8">
      <t>ケッテイ</t>
    </rPh>
    <phoneticPr fontId="1"/>
  </si>
  <si>
    <t>=調節ボルト</t>
    <phoneticPr fontId="1"/>
  </si>
  <si>
    <t>D1</t>
    <phoneticPr fontId="1"/>
  </si>
  <si>
    <t>めねじ内径</t>
    <rPh sb="3" eb="5">
      <t>ナイケイ</t>
    </rPh>
    <phoneticPr fontId="1"/>
  </si>
  <si>
    <t>q</t>
    <phoneticPr fontId="1"/>
  </si>
  <si>
    <t>表7.15より大きめにとった値</t>
    <rPh sb="0" eb="1">
      <t>ヒョウ</t>
    </rPh>
    <rPh sb="7" eb="8">
      <t>オオ</t>
    </rPh>
    <rPh sb="14" eb="15">
      <t>アタイ</t>
    </rPh>
    <phoneticPr fontId="1"/>
  </si>
  <si>
    <t>調節ボルトのピッチ</t>
    <rPh sb="0" eb="2">
      <t>チョウセツ</t>
    </rPh>
    <phoneticPr fontId="1"/>
  </si>
  <si>
    <t>Q13を受けて付表1のR10から選択</t>
    <rPh sb="4" eb="5">
      <t>ウ</t>
    </rPh>
    <rPh sb="7" eb="9">
      <t>フヒョウ</t>
    </rPh>
    <rPh sb="16" eb="18">
      <t>センタク</t>
    </rPh>
    <phoneticPr fontId="1"/>
  </si>
  <si>
    <t>d4</t>
    <phoneticPr fontId="1"/>
  </si>
  <si>
    <t>3.5表</t>
    <rPh sb="3" eb="4">
      <t>ヒョウ</t>
    </rPh>
    <phoneticPr fontId="1"/>
  </si>
  <si>
    <t>プリントより</t>
    <phoneticPr fontId="1"/>
  </si>
  <si>
    <t>教科書に沿って決定する</t>
    <rPh sb="0" eb="3">
      <t>キョウカショ</t>
    </rPh>
    <rPh sb="4" eb="5">
      <t>ソ</t>
    </rPh>
    <rPh sb="7" eb="9">
      <t>ケッテイ</t>
    </rPh>
    <phoneticPr fontId="1"/>
  </si>
  <si>
    <t>例題7.5(a)</t>
    <rPh sb="0" eb="2">
      <t>レイダイ</t>
    </rPh>
    <phoneticPr fontId="1"/>
  </si>
  <si>
    <t>R0</t>
    <phoneticPr fontId="1"/>
  </si>
  <si>
    <t>帯中心からの距離</t>
    <rPh sb="0" eb="1">
      <t>オビ</t>
    </rPh>
    <rPh sb="1" eb="3">
      <t>チュウシン</t>
    </rPh>
    <rPh sb="6" eb="8">
      <t>キョリ</t>
    </rPh>
    <phoneticPr fontId="1"/>
  </si>
  <si>
    <t>l2</t>
    <phoneticPr fontId="1"/>
  </si>
  <si>
    <t>RF</t>
    <phoneticPr fontId="1"/>
  </si>
  <si>
    <t>W2</t>
    <phoneticPr fontId="1"/>
  </si>
  <si>
    <t>lb1</t>
    <phoneticPr fontId="1"/>
  </si>
  <si>
    <t>W1</t>
    <phoneticPr fontId="1"/>
  </si>
  <si>
    <t>lb2</t>
    <phoneticPr fontId="1"/>
  </si>
  <si>
    <t>7.31式</t>
    <rPh sb="4" eb="5">
      <t>シキ</t>
    </rPh>
    <phoneticPr fontId="1"/>
  </si>
  <si>
    <t>7.32式</t>
    <rPh sb="4" eb="5">
      <t>シキ</t>
    </rPh>
    <phoneticPr fontId="1"/>
  </si>
  <si>
    <t>有効締め付け長さ</t>
    <rPh sb="0" eb="2">
      <t>ユウコウ</t>
    </rPh>
    <rPh sb="2" eb="3">
      <t>シ</t>
    </rPh>
    <rPh sb="4" eb="5">
      <t>ツ</t>
    </rPh>
    <rPh sb="6" eb="7">
      <t>ナガ</t>
    </rPh>
    <phoneticPr fontId="1"/>
  </si>
  <si>
    <t>D10,D11の値をもとに付表3から決定した値 =ブラケット取付ボルトのねじ部</t>
    <rPh sb="8" eb="9">
      <t>アタイ</t>
    </rPh>
    <rPh sb="13" eb="15">
      <t>フヒョウ</t>
    </rPh>
    <rPh sb="18" eb="20">
      <t>ケッテイ</t>
    </rPh>
    <rPh sb="22" eb="23">
      <t>アタイ</t>
    </rPh>
    <rPh sb="30" eb="32">
      <t>トリツケ</t>
    </rPh>
    <rPh sb="38" eb="39">
      <t>ブ</t>
    </rPh>
    <phoneticPr fontId="1"/>
  </si>
  <si>
    <t>(c )</t>
    <phoneticPr fontId="1"/>
  </si>
  <si>
    <t>D10,D11の値をもとに付表3から決定した値</t>
    <rPh sb="8" eb="9">
      <t>アタイ</t>
    </rPh>
    <rPh sb="13" eb="15">
      <t>フヒョウ</t>
    </rPh>
    <rPh sb="18" eb="20">
      <t>ケッテイ</t>
    </rPh>
    <rPh sb="22" eb="23">
      <t>アタイ</t>
    </rPh>
    <phoneticPr fontId="1"/>
  </si>
  <si>
    <t>ブラケット取付ボルトの呼び</t>
    <rPh sb="5" eb="7">
      <t>トリツケ</t>
    </rPh>
    <rPh sb="11" eb="12">
      <t>ヨ</t>
    </rPh>
    <phoneticPr fontId="1"/>
  </si>
  <si>
    <t>a-a'</t>
    <phoneticPr fontId="1"/>
  </si>
  <si>
    <t>b-b'</t>
    <phoneticPr fontId="1"/>
  </si>
  <si>
    <t>e</t>
    <phoneticPr fontId="1"/>
  </si>
  <si>
    <t>取付ボルトの頭の寸法(付表4のeの値をそのまま入力)</t>
    <rPh sb="0" eb="2">
      <t>トリツケ</t>
    </rPh>
    <rPh sb="6" eb="7">
      <t>アタマ</t>
    </rPh>
    <rPh sb="8" eb="10">
      <t>スンポウ</t>
    </rPh>
    <rPh sb="11" eb="13">
      <t>フヒョウ</t>
    </rPh>
    <rPh sb="17" eb="18">
      <t>アタイ</t>
    </rPh>
    <rPh sb="23" eb="25">
      <t>ニュウリョク</t>
    </rPh>
    <phoneticPr fontId="1"/>
  </si>
  <si>
    <t>c-c'</t>
    <phoneticPr fontId="1"/>
  </si>
  <si>
    <t>lm</t>
    <phoneticPr fontId="1"/>
  </si>
  <si>
    <t>7.15表</t>
    <rPh sb="4" eb="5">
      <t>ヒョウ</t>
    </rPh>
    <phoneticPr fontId="1"/>
  </si>
  <si>
    <t>D13を切り上げ整数化した値(おかしければ手動入力)</t>
    <rPh sb="4" eb="5">
      <t>キ</t>
    </rPh>
    <rPh sb="6" eb="7">
      <t>ア</t>
    </rPh>
    <rPh sb="8" eb="10">
      <t>セイスウ</t>
    </rPh>
    <rPh sb="10" eb="11">
      <t>カ</t>
    </rPh>
    <rPh sb="13" eb="14">
      <t>アタイ</t>
    </rPh>
    <rPh sb="21" eb="23">
      <t>シュドウ</t>
    </rPh>
    <rPh sb="23" eb="25">
      <t>ニュウリョク</t>
    </rPh>
    <phoneticPr fontId="1"/>
  </si>
  <si>
    <t>t3</t>
    <phoneticPr fontId="1"/>
  </si>
  <si>
    <t>D15を受けて設定する。</t>
  </si>
  <si>
    <t>H1</t>
    <phoneticPr fontId="1"/>
  </si>
  <si>
    <t>D17を受けて付表1のR20より決定した値 =ピン直径</t>
    <rPh sb="4" eb="5">
      <t>ウ</t>
    </rPh>
    <rPh sb="7" eb="9">
      <t>フヒョウ</t>
    </rPh>
    <rPh sb="16" eb="18">
      <t>ケッテイ</t>
    </rPh>
    <rPh sb="20" eb="21">
      <t>アタイ</t>
    </rPh>
    <rPh sb="25" eb="27">
      <t>チョッケイ</t>
    </rPh>
    <phoneticPr fontId="1"/>
  </si>
  <si>
    <t>d</t>
  </si>
  <si>
    <t>D19を受けて上記dとの釣合いを考慮して決定した値</t>
    <rPh sb="4" eb="5">
      <t>ウ</t>
    </rPh>
    <rPh sb="7" eb="9">
      <t>ジョウキ</t>
    </rPh>
    <rPh sb="12" eb="14">
      <t>ツリア</t>
    </rPh>
    <rPh sb="16" eb="18">
      <t>コウリョ</t>
    </rPh>
    <rPh sb="20" eb="22">
      <t>ケッテイ</t>
    </rPh>
    <rPh sb="24" eb="25">
      <t>アタイ</t>
    </rPh>
    <phoneticPr fontId="1"/>
  </si>
  <si>
    <t>初期設定はA32を1.7で除してMとの釣合いを取った値を出力</t>
    <rPh sb="0" eb="2">
      <t>ショキ</t>
    </rPh>
    <rPh sb="2" eb="4">
      <t>セッテイ</t>
    </rPh>
    <rPh sb="13" eb="14">
      <t>ジョ</t>
    </rPh>
    <rPh sb="19" eb="21">
      <t>ツリア</t>
    </rPh>
    <rPh sb="23" eb="24">
      <t>ト</t>
    </rPh>
    <rPh sb="26" eb="27">
      <t>アタイ</t>
    </rPh>
    <rPh sb="28" eb="30">
      <t>シュツリョク</t>
    </rPh>
    <phoneticPr fontId="1"/>
  </si>
  <si>
    <t>A34の値をもとに付表3を見て決定する</t>
    <rPh sb="4" eb="5">
      <t>アタイ</t>
    </rPh>
    <rPh sb="9" eb="11">
      <t>フヒョウ</t>
    </rPh>
    <rPh sb="13" eb="14">
      <t>ミ</t>
    </rPh>
    <rPh sb="15" eb="17">
      <t>ケッテイ</t>
    </rPh>
    <phoneticPr fontId="1"/>
  </si>
  <si>
    <t>呼び</t>
    <rPh sb="0" eb="1">
      <t>ヨ</t>
    </rPh>
    <phoneticPr fontId="1"/>
  </si>
  <si>
    <t>Ix</t>
    <phoneticPr fontId="1"/>
  </si>
  <si>
    <t>A33のd</t>
  </si>
  <si>
    <t>非近似計算</t>
    <rPh sb="0" eb="5">
      <t>ヒキンジケイサン</t>
    </rPh>
    <phoneticPr fontId="1"/>
  </si>
  <si>
    <t>B</t>
    <phoneticPr fontId="1"/>
  </si>
  <si>
    <t>Z'</t>
    <phoneticPr fontId="1"/>
  </si>
  <si>
    <t>A22をもとに設定する。(おかしかったりキリの良い数字でなければ手動入力)</t>
    <rPh sb="7" eb="9">
      <t>セッテイ</t>
    </rPh>
    <rPh sb="23" eb="24">
      <t>ヨ</t>
    </rPh>
    <rPh sb="25" eb="27">
      <t>スウジ</t>
    </rPh>
    <rPh sb="32" eb="34">
      <t>シュドウ</t>
    </rPh>
    <rPh sb="34" eb="36">
      <t>ニュウリョク</t>
    </rPh>
    <phoneticPr fontId="1"/>
  </si>
  <si>
    <t>Z''</t>
    <phoneticPr fontId="1"/>
  </si>
  <si>
    <t>7.16表から決定</t>
    <rPh sb="4" eb="5">
      <t>ヒョウ</t>
    </rPh>
    <rPh sb="7" eb="9">
      <t>ケッテイ</t>
    </rPh>
    <phoneticPr fontId="1"/>
  </si>
  <si>
    <t>σ'b</t>
    <phoneticPr fontId="1"/>
  </si>
  <si>
    <t>e1(σb(18.6)よりも小さいことを確認)</t>
    <rPh sb="14" eb="15">
      <t>チイ</t>
    </rPh>
    <rPh sb="20" eb="22">
      <t>カクニン</t>
    </rPh>
    <phoneticPr fontId="1"/>
  </si>
  <si>
    <t>σ''b</t>
    <phoneticPr fontId="1"/>
  </si>
  <si>
    <t>D21,D22を受けて設定する。(初期設定ではD21を整数化したものに+2mmしている)</t>
  </si>
  <si>
    <t>e2(σb(18.6)よりも小さいことを確認)</t>
    <phoneticPr fontId="1"/>
  </si>
  <si>
    <t>D24とD21,D22を見比べて整数で設定する。</t>
    <phoneticPr fontId="1"/>
  </si>
  <si>
    <t>初期設定ではA44とD24,D21,D22をそれぞれ整数化した値の最大値</t>
    <rPh sb="0" eb="2">
      <t>ショキ</t>
    </rPh>
    <rPh sb="2" eb="4">
      <t>セッテイ</t>
    </rPh>
    <rPh sb="26" eb="28">
      <t>セイスウ</t>
    </rPh>
    <rPh sb="28" eb="29">
      <t>カ</t>
    </rPh>
    <rPh sb="31" eb="32">
      <t>アタイ</t>
    </rPh>
    <rPh sb="33" eb="36">
      <t>サイダイチ</t>
    </rPh>
    <phoneticPr fontId="1"/>
  </si>
  <si>
    <t>H</t>
    <phoneticPr fontId="1"/>
  </si>
  <si>
    <t>θ'</t>
    <phoneticPr fontId="1"/>
  </si>
  <si>
    <t>例題7.6</t>
    <rPh sb="0" eb="2">
      <t>レイダイ</t>
    </rPh>
    <phoneticPr fontId="1"/>
  </si>
  <si>
    <t>例題7.7</t>
    <rPh sb="0" eb="2">
      <t>レイダイ</t>
    </rPh>
    <phoneticPr fontId="1"/>
  </si>
  <si>
    <t>xc</t>
    <phoneticPr fontId="1"/>
  </si>
  <si>
    <t>|xc|</t>
    <phoneticPr fontId="1"/>
  </si>
  <si>
    <t>例題7.8</t>
    <rPh sb="0" eb="2">
      <t>レイダイ</t>
    </rPh>
    <phoneticPr fontId="1"/>
  </si>
  <si>
    <t>O'E'</t>
    <phoneticPr fontId="1"/>
  </si>
  <si>
    <t>b'</t>
    <phoneticPr fontId="1"/>
  </si>
  <si>
    <t>yc</t>
    <phoneticPr fontId="1"/>
  </si>
  <si>
    <t>|yc|</t>
    <phoneticPr fontId="1"/>
  </si>
  <si>
    <t>DE</t>
    <phoneticPr fontId="1"/>
  </si>
  <si>
    <t>TB</t>
    <phoneticPr fontId="1"/>
  </si>
  <si>
    <t>OC</t>
    <phoneticPr fontId="1"/>
  </si>
  <si>
    <t>EG</t>
    <phoneticPr fontId="1"/>
  </si>
  <si>
    <t>D2</t>
    <phoneticPr fontId="1"/>
  </si>
  <si>
    <t>TB/M</t>
    <phoneticPr fontId="1"/>
  </si>
  <si>
    <t>RB'</t>
    <phoneticPr fontId="1"/>
  </si>
  <si>
    <t>AG</t>
    <phoneticPr fontId="1"/>
  </si>
  <si>
    <t>ブレーキ輪外径</t>
  </si>
  <si>
    <t>tr1</t>
    <phoneticPr fontId="1"/>
  </si>
  <si>
    <t>Me</t>
    <phoneticPr fontId="1"/>
  </si>
  <si>
    <r>
      <t>RB'-</t>
    </r>
    <r>
      <rPr>
        <sz val="11"/>
        <color theme="1"/>
        <rFont val="ItalicC"/>
      </rPr>
      <t>l1</t>
    </r>
    <phoneticPr fontId="1"/>
  </si>
  <si>
    <t>DE+EG+AG</t>
    <phoneticPr fontId="1"/>
  </si>
  <si>
    <t>EG+AG+50</t>
  </si>
  <si>
    <t>ライニング全長</t>
  </si>
  <si>
    <t>tr2</t>
    <phoneticPr fontId="1"/>
  </si>
  <si>
    <t>Te</t>
    <phoneticPr fontId="1"/>
  </si>
  <si>
    <t>α1(rad)</t>
    <phoneticPr fontId="1"/>
  </si>
  <si>
    <t>α1(deg)</t>
    <phoneticPr fontId="1"/>
  </si>
  <si>
    <t>ブレーキ帯全長</t>
    <rPh sb="4" eb="5">
      <t>オビ</t>
    </rPh>
    <rPh sb="5" eb="7">
      <t>ゼンチョウ</t>
    </rPh>
    <phoneticPr fontId="1"/>
  </si>
  <si>
    <t>α2(rad)</t>
    <phoneticPr fontId="1"/>
  </si>
  <si>
    <t>α2(deg)</t>
    <phoneticPr fontId="1"/>
  </si>
  <si>
    <t>α1+α2(deg)</t>
    <phoneticPr fontId="1"/>
  </si>
  <si>
    <t>ブレーキ輪の許容曲げ応力(7.16表)</t>
    <rPh sb="4" eb="5">
      <t>リン</t>
    </rPh>
    <rPh sb="6" eb="8">
      <t>キョヨウ</t>
    </rPh>
    <rPh sb="8" eb="9">
      <t>マ</t>
    </rPh>
    <rPh sb="10" eb="12">
      <t>オウリョク</t>
    </rPh>
    <rPh sb="17" eb="18">
      <t>ヒョウ</t>
    </rPh>
    <phoneticPr fontId="1"/>
  </si>
  <si>
    <t>ブレーキ輪内径　(7.51式)</t>
    <rPh sb="4" eb="5">
      <t>リン</t>
    </rPh>
    <rPh sb="5" eb="7">
      <t>ナイケイ</t>
    </rPh>
    <rPh sb="13" eb="14">
      <t>シキ</t>
    </rPh>
    <phoneticPr fontId="1"/>
  </si>
  <si>
    <t>α3(rad)</t>
    <phoneticPr fontId="1"/>
  </si>
  <si>
    <t>α3(deg)</t>
    <phoneticPr fontId="1"/>
  </si>
  <si>
    <t>ブレーキ輪の許容ねじり応力(7.16表)</t>
    <rPh sb="4" eb="5">
      <t>リン</t>
    </rPh>
    <rPh sb="6" eb="8">
      <t>キョヨウ</t>
    </rPh>
    <rPh sb="11" eb="13">
      <t>オウリョク</t>
    </rPh>
    <rPh sb="18" eb="19">
      <t>ヒョウ</t>
    </rPh>
    <phoneticPr fontId="1"/>
  </si>
  <si>
    <t>7.52式の時</t>
  </si>
  <si>
    <t>DB/教科書</t>
    <rPh sb="3" eb="6">
      <t>キョウカショ</t>
    </rPh>
    <phoneticPr fontId="1"/>
  </si>
  <si>
    <t>α4(rad)</t>
    <phoneticPr fontId="1"/>
  </si>
  <si>
    <t>α4(deg)</t>
    <phoneticPr fontId="1"/>
  </si>
  <si>
    <t>ブレーキ輪内径　(7.53式)</t>
    <rPh sb="4" eb="5">
      <t>リン</t>
    </rPh>
    <rPh sb="5" eb="7">
      <t>ナイケイ</t>
    </rPh>
    <rPh sb="13" eb="14">
      <t>シキ</t>
    </rPh>
    <phoneticPr fontId="1"/>
  </si>
  <si>
    <t>tbr</t>
    <phoneticPr fontId="1"/>
  </si>
  <si>
    <t>xG</t>
    <phoneticPr fontId="1"/>
  </si>
  <si>
    <t>yG</t>
    <phoneticPr fontId="1"/>
  </si>
  <si>
    <t>ブレーキライニングの厚さ</t>
    <rPh sb="10" eb="11">
      <t>アツ</t>
    </rPh>
    <phoneticPr fontId="1"/>
  </si>
  <si>
    <t>7.54式の時</t>
  </si>
  <si>
    <t>tr3</t>
    <phoneticPr fontId="1"/>
  </si>
  <si>
    <t>xA</t>
    <phoneticPr fontId="1"/>
  </si>
  <si>
    <t>yA</t>
    <phoneticPr fontId="1"/>
  </si>
  <si>
    <t>yの値は四捨五入か切り捨て</t>
  </si>
  <si>
    <t>xB</t>
    <phoneticPr fontId="1"/>
  </si>
  <si>
    <t>yB</t>
    <phoneticPr fontId="1"/>
  </si>
  <si>
    <t>lb2-lb1</t>
    <phoneticPr fontId="1"/>
  </si>
  <si>
    <t>L1</t>
    <phoneticPr fontId="1"/>
  </si>
  <si>
    <t>7.7図参考(L1=L2)</t>
    <rPh sb="3" eb="4">
      <t>ズ</t>
    </rPh>
    <rPh sb="4" eb="6">
      <t>サンコウ</t>
    </rPh>
    <phoneticPr fontId="1"/>
  </si>
  <si>
    <t>L2</t>
    <phoneticPr fontId="1"/>
  </si>
  <si>
    <t>例題8.1(a)</t>
    <rPh sb="0" eb="2">
      <t>レイダイ</t>
    </rPh>
    <phoneticPr fontId="1"/>
  </si>
  <si>
    <t>S0</t>
    <phoneticPr fontId="1"/>
  </si>
  <si>
    <t>例題8.1(b)</t>
    <rPh sb="0" eb="2">
      <t>レイダイ</t>
    </rPh>
    <phoneticPr fontId="1"/>
  </si>
  <si>
    <t>Ds2</t>
    <phoneticPr fontId="1"/>
  </si>
  <si>
    <t>σB</t>
    <phoneticPr fontId="1"/>
  </si>
  <si>
    <t>外径</t>
    <rPh sb="0" eb="2">
      <t>ガイケイ</t>
    </rPh>
    <phoneticPr fontId="1"/>
  </si>
  <si>
    <t>カラー(表8.6)</t>
    <rPh sb="4" eb="5">
      <t>ヒョウ</t>
    </rPh>
    <phoneticPr fontId="1"/>
  </si>
  <si>
    <t>τ</t>
  </si>
  <si>
    <t>5章5.3節</t>
    <rPh sb="1" eb="2">
      <t>ショウ</t>
    </rPh>
    <rPh sb="5" eb="6">
      <t>セツ</t>
    </rPh>
    <phoneticPr fontId="1"/>
  </si>
  <si>
    <t>決定値(表8.3)</t>
    <rPh sb="0" eb="2">
      <t>ケッテイ</t>
    </rPh>
    <rPh sb="2" eb="3">
      <t>チ</t>
    </rPh>
    <rPh sb="4" eb="5">
      <t>ヒョウ</t>
    </rPh>
    <phoneticPr fontId="1"/>
  </si>
  <si>
    <t>ハンドル部分の長さ</t>
    <rPh sb="4" eb="6">
      <t>ブブン</t>
    </rPh>
    <rPh sb="7" eb="8">
      <t>ナガ</t>
    </rPh>
    <phoneticPr fontId="1"/>
  </si>
  <si>
    <t>Ds1</t>
    <phoneticPr fontId="1"/>
  </si>
  <si>
    <t>表8.2</t>
    <rPh sb="0" eb="1">
      <t>ヒョウ</t>
    </rPh>
    <phoneticPr fontId="1"/>
  </si>
  <si>
    <t>幅</t>
    <rPh sb="0" eb="1">
      <t>ハバ</t>
    </rPh>
    <phoneticPr fontId="1"/>
  </si>
  <si>
    <t>止めねじ</t>
    <rPh sb="0" eb="1">
      <t>ト</t>
    </rPh>
    <phoneticPr fontId="1"/>
  </si>
  <si>
    <t>表8.6</t>
    <rPh sb="0" eb="1">
      <t>ヒョウ</t>
    </rPh>
    <phoneticPr fontId="1"/>
  </si>
  <si>
    <t>ハンドル軸キー</t>
    <rPh sb="4" eb="5">
      <t>ジク</t>
    </rPh>
    <phoneticPr fontId="1"/>
  </si>
  <si>
    <t>決定値(表8.2)</t>
    <rPh sb="0" eb="2">
      <t>ケッテイ</t>
    </rPh>
    <rPh sb="2" eb="3">
      <t>チ</t>
    </rPh>
    <rPh sb="4" eb="5">
      <t>ヒョウ</t>
    </rPh>
    <phoneticPr fontId="1"/>
  </si>
  <si>
    <t>中間軸キー</t>
    <rPh sb="0" eb="2">
      <t>チュウカン</t>
    </rPh>
    <rPh sb="2" eb="3">
      <t>ジク</t>
    </rPh>
    <phoneticPr fontId="1"/>
  </si>
  <si>
    <t>WG+(WD/2)</t>
    <phoneticPr fontId="1"/>
  </si>
  <si>
    <t>例題8.2(b)</t>
    <rPh sb="0" eb="2">
      <t>レイダイ</t>
    </rPh>
    <phoneticPr fontId="1"/>
  </si>
  <si>
    <t>FT</t>
    <phoneticPr fontId="1"/>
  </si>
  <si>
    <t>O1O2</t>
    <phoneticPr fontId="1"/>
  </si>
  <si>
    <t>( e )</t>
    <phoneticPr fontId="1"/>
  </si>
  <si>
    <t>(f)</t>
    <phoneticPr fontId="1"/>
  </si>
  <si>
    <t>R1</t>
    <phoneticPr fontId="1"/>
  </si>
  <si>
    <t>FN+W</t>
  </si>
  <si>
    <t>WT1</t>
  </si>
  <si>
    <t>FN</t>
    <phoneticPr fontId="1"/>
  </si>
  <si>
    <t>O2O3</t>
    <phoneticPr fontId="1"/>
  </si>
  <si>
    <t>δ2</t>
    <phoneticPr fontId="1"/>
  </si>
  <si>
    <t>MA</t>
    <phoneticPr fontId="1"/>
  </si>
  <si>
    <t>β1+90</t>
  </si>
  <si>
    <t>WT2</t>
  </si>
  <si>
    <t>=O1O3</t>
    <phoneticPr fontId="1"/>
  </si>
  <si>
    <t>rad</t>
  </si>
  <si>
    <t>FR</t>
    <phoneticPr fontId="1"/>
  </si>
  <si>
    <t>β3</t>
    <phoneticPr fontId="1"/>
  </si>
  <si>
    <t>(g)</t>
  </si>
  <si>
    <t>ds3</t>
    <phoneticPr fontId="1"/>
  </si>
  <si>
    <t>90+θ'</t>
  </si>
  <si>
    <t>T+W</t>
    <phoneticPr fontId="1"/>
  </si>
  <si>
    <t>θ3</t>
    <phoneticPr fontId="1"/>
  </si>
  <si>
    <t>ドラム歯車ピッチ径</t>
    <rPh sb="3" eb="5">
      <t>ハグルマ</t>
    </rPh>
    <rPh sb="8" eb="9">
      <t>ケイ</t>
    </rPh>
    <phoneticPr fontId="1"/>
  </si>
  <si>
    <t>deg</t>
  </si>
  <si>
    <t>β2</t>
    <phoneticPr fontId="1"/>
  </si>
  <si>
    <t>WT</t>
    <phoneticPr fontId="1"/>
  </si>
  <si>
    <t>( c )</t>
    <phoneticPr fontId="1"/>
  </si>
  <si>
    <t>データシートのWT2に相当　計算式もデータシートのものを使用</t>
  </si>
  <si>
    <t>β1</t>
    <phoneticPr fontId="1"/>
  </si>
  <si>
    <t>α</t>
    <phoneticPr fontId="1"/>
  </si>
  <si>
    <t>sinθ1</t>
    <phoneticPr fontId="1"/>
  </si>
  <si>
    <t>圧力角(deg)</t>
    <rPh sb="0" eb="2">
      <t>アツリョク</t>
    </rPh>
    <rPh sb="2" eb="3">
      <t>カク</t>
    </rPh>
    <phoneticPr fontId="1"/>
  </si>
  <si>
    <t>FN+W</t>
    <phoneticPr fontId="1"/>
  </si>
  <si>
    <t>圧力角(rad)</t>
    <rPh sb="0" eb="2">
      <t>アツリョク</t>
    </rPh>
    <rPh sb="2" eb="3">
      <t>カク</t>
    </rPh>
    <phoneticPr fontId="1"/>
  </si>
  <si>
    <t>θ1</t>
    <phoneticPr fontId="1"/>
  </si>
  <si>
    <t>巻き掛け角</t>
    <rPh sb="0" eb="1">
      <t>マ</t>
    </rPh>
    <rPh sb="2" eb="3">
      <t>カ</t>
    </rPh>
    <rPh sb="4" eb="5">
      <t>カク</t>
    </rPh>
    <phoneticPr fontId="1"/>
  </si>
  <si>
    <t>データシートのWT1に相当 計算式もデータシートのものを使用</t>
  </si>
  <si>
    <t>θ2</t>
    <phoneticPr fontId="1"/>
  </si>
  <si>
    <t>δ1</t>
    <phoneticPr fontId="1"/>
  </si>
  <si>
    <t>7章</t>
    <rPh sb="1" eb="2">
      <t>ショウ</t>
    </rPh>
    <phoneticPr fontId="1"/>
  </si>
  <si>
    <t>(h)</t>
    <phoneticPr fontId="1"/>
  </si>
  <si>
    <t>J</t>
    <phoneticPr fontId="1"/>
  </si>
  <si>
    <t>360-θ (deg)</t>
    <phoneticPr fontId="1"/>
  </si>
  <si>
    <t>(rad)</t>
    <phoneticPr fontId="1"/>
  </si>
  <si>
    <t>歯車</t>
    <rPh sb="0" eb="2">
      <t>ハグルマ</t>
    </rPh>
    <phoneticPr fontId="1"/>
  </si>
  <si>
    <t>α4</t>
    <phoneticPr fontId="1"/>
  </si>
  <si>
    <t>F</t>
    <phoneticPr fontId="1"/>
  </si>
  <si>
    <t>図8.14参考　R1側</t>
    <rPh sb="0" eb="1">
      <t>ズ</t>
    </rPh>
    <rPh sb="5" eb="7">
      <t>サンコウ</t>
    </rPh>
    <rPh sb="10" eb="11">
      <t>ガワ</t>
    </rPh>
    <phoneticPr fontId="1"/>
  </si>
  <si>
    <t>G</t>
    <phoneticPr fontId="1"/>
  </si>
  <si>
    <t>図8.14参考　R2側</t>
    <rPh sb="0" eb="1">
      <t>ズ</t>
    </rPh>
    <rPh sb="5" eb="7">
      <t>サンコウ</t>
    </rPh>
    <rPh sb="10" eb="11">
      <t>ガワ</t>
    </rPh>
    <phoneticPr fontId="1"/>
  </si>
  <si>
    <t>11章W'に相当</t>
  </si>
  <si>
    <t>Ds3</t>
    <phoneticPr fontId="1"/>
  </si>
  <si>
    <t>M6を受けて表8.2から選ぶ</t>
    <rPh sb="3" eb="4">
      <t>ウ</t>
    </rPh>
    <rPh sb="6" eb="7">
      <t>ヒョウ</t>
    </rPh>
    <rPh sb="12" eb="13">
      <t>エラ</t>
    </rPh>
    <phoneticPr fontId="1"/>
  </si>
  <si>
    <t>ボルト径</t>
    <rPh sb="3" eb="4">
      <t>ケイ</t>
    </rPh>
    <phoneticPr fontId="1"/>
  </si>
  <si>
    <t>l</t>
  </si>
  <si>
    <t>巻胴軸のスパン</t>
  </si>
  <si>
    <t>ボルト長さ</t>
    <rPh sb="3" eb="4">
      <t>ナガ</t>
    </rPh>
    <phoneticPr fontId="1"/>
  </si>
  <si>
    <t>重力加速度</t>
    <rPh sb="0" eb="2">
      <t>ジュウリョク</t>
    </rPh>
    <rPh sb="2" eb="5">
      <t>カソクド</t>
    </rPh>
    <phoneticPr fontId="1"/>
  </si>
  <si>
    <t>ブレーキとドラム歯車を合わせた体積 V_G</t>
  </si>
  <si>
    <t>WG  (N)</t>
  </si>
  <si>
    <t>ブレーキ輪体積</t>
  </si>
  <si>
    <t>mm^3</t>
    <phoneticPr fontId="1"/>
  </si>
  <si>
    <t>ブレーキ帯幅+20mmで計算</t>
  </si>
  <si>
    <t>密度</t>
    <rPh sb="0" eb="2">
      <t>ミツド</t>
    </rPh>
    <phoneticPr fontId="1"/>
  </si>
  <si>
    <t>FC200の密度(7.25)
のほうがいいかも</t>
  </si>
  <si>
    <t>cm^3</t>
    <phoneticPr fontId="1"/>
  </si>
  <si>
    <t>ドラム歯車体積</t>
  </si>
  <si>
    <t>定数</t>
    <rPh sb="0" eb="2">
      <t>テイスウ</t>
    </rPh>
    <phoneticPr fontId="1"/>
  </si>
  <si>
    <t>有効桁数を上数桁に設定するときは、mm^3のほうの数式の,(コンマ)の直後にある0を負の整数に設定する。有効桁数の変更ではWGの値にほぼ影響しない。</t>
  </si>
  <si>
    <t>ドラムフランジ体積(ブレーキ側縁部分)</t>
  </si>
  <si>
    <t>ブレーキ輪直径</t>
  </si>
  <si>
    <t>ドラムと爪車を合わせた体積 V_D</t>
  </si>
  <si>
    <t>WD  (N)</t>
  </si>
  <si>
    <t>ドラム体積</t>
  </si>
  <si>
    <t>ドラム歯車刃先円直径</t>
  </si>
  <si>
    <t>WG+WD/2は第Ⅲ軸に記載</t>
  </si>
  <si>
    <t>ドラムフランジ体積(爪車側縁部分)</t>
  </si>
  <si>
    <t>巻胴フランジ直径(歯車)</t>
  </si>
  <si>
    <t>有効桁数を上数桁に設定するときは、mm^3のほうの数式の,(コンマ)の直後にある0を負の整数に設定する。有効桁数の変更ではWDの値にほぼ影響しない。</t>
  </si>
  <si>
    <t>爪車体積</t>
  </si>
  <si>
    <t>巻胴半径</t>
    <rPh sb="2" eb="3">
      <t>ハン</t>
    </rPh>
    <phoneticPr fontId="1"/>
  </si>
  <si>
    <t>以下参考用に3DCAD使用時向けの枠を実装　自重に関する値を使用する計算は上記の値で行う</t>
  </si>
  <si>
    <t>VG</t>
  </si>
  <si>
    <t>巻胴肉厚</t>
  </si>
  <si>
    <t>巻胴フランジ直径(爪車)</t>
  </si>
  <si>
    <t>VD</t>
  </si>
  <si>
    <t>爪車刃先円半径</t>
    <rPh sb="5" eb="6">
      <t>ハン</t>
    </rPh>
    <phoneticPr fontId="1"/>
  </si>
  <si>
    <t>σb</t>
  </si>
  <si>
    <t>M</t>
  </si>
  <si>
    <t>Lh</t>
  </si>
  <si>
    <t>Z</t>
  </si>
  <si>
    <t>F</t>
  </si>
  <si>
    <t>A2より小さいことを確認</t>
    <rPh sb="4" eb="5">
      <t>チイ</t>
    </rPh>
    <phoneticPr fontId="1"/>
  </si>
  <si>
    <t>b1</t>
  </si>
  <si>
    <t>ほぼ確定</t>
  </si>
  <si>
    <t>b2</t>
  </si>
  <si>
    <t>9.1(b)</t>
    <phoneticPr fontId="1"/>
  </si>
  <si>
    <t>D0</t>
    <phoneticPr fontId="1"/>
  </si>
  <si>
    <t>(c)</t>
    <phoneticPr fontId="1"/>
  </si>
  <si>
    <t>*1.5</t>
    <phoneticPr fontId="1"/>
  </si>
  <si>
    <t>*2</t>
    <phoneticPr fontId="1"/>
  </si>
  <si>
    <t>Dh1</t>
    <phoneticPr fontId="1"/>
  </si>
  <si>
    <t>j</t>
    <phoneticPr fontId="1"/>
  </si>
  <si>
    <t>th1</t>
    <phoneticPr fontId="1"/>
  </si>
  <si>
    <t>Dk1</t>
    <phoneticPr fontId="1"/>
  </si>
  <si>
    <t>a1</t>
    <phoneticPr fontId="1"/>
  </si>
  <si>
    <t>c</t>
    <phoneticPr fontId="1"/>
  </si>
  <si>
    <t>g</t>
    <phoneticPr fontId="1"/>
  </si>
  <si>
    <t>Dh2</t>
    <phoneticPr fontId="1"/>
  </si>
  <si>
    <t>a2</t>
    <phoneticPr fontId="1"/>
  </si>
  <si>
    <t>th2</t>
    <phoneticPr fontId="1"/>
  </si>
  <si>
    <t>e0</t>
    <phoneticPr fontId="1"/>
  </si>
  <si>
    <t>dfA</t>
  </si>
  <si>
    <t>dfB</t>
  </si>
  <si>
    <t>e'A</t>
  </si>
  <si>
    <t>dfC</t>
  </si>
  <si>
    <t>e'C</t>
  </si>
  <si>
    <t>dfD</t>
  </si>
  <si>
    <t>e</t>
  </si>
  <si>
    <t>t'A</t>
  </si>
  <si>
    <t>表8.7 t2</t>
  </si>
  <si>
    <t>t'C</t>
  </si>
  <si>
    <t>hr決定値</t>
  </si>
  <si>
    <t>hr</t>
  </si>
  <si>
    <t>R20</t>
  </si>
  <si>
    <t>×0.5</t>
  </si>
  <si>
    <t>a決定値</t>
  </si>
  <si>
    <t>×0.7</t>
  </si>
  <si>
    <t>d02</t>
  </si>
  <si>
    <t>a</t>
  </si>
  <si>
    <t>=a'</t>
  </si>
  <si>
    <t>n決定値</t>
  </si>
  <si>
    <t>式10.7</t>
  </si>
  <si>
    <t>ZB</t>
  </si>
  <si>
    <t>×1.2</t>
  </si>
  <si>
    <t>式10.4</t>
  </si>
  <si>
    <t>×2.2</t>
  </si>
  <si>
    <t>f</t>
  </si>
  <si>
    <t>計算値</t>
  </si>
  <si>
    <t>ボス長さ</t>
  </si>
  <si>
    <t>f'</t>
  </si>
  <si>
    <t>B</t>
  </si>
  <si>
    <t>=Sb</t>
  </si>
  <si>
    <t>決定値 R40</t>
  </si>
  <si>
    <t>f2</t>
  </si>
  <si>
    <t>B'</t>
  </si>
  <si>
    <t>f'2</t>
  </si>
  <si>
    <t>l'</t>
  </si>
  <si>
    <t>カラー幅</t>
  </si>
  <si>
    <t>t1</t>
  </si>
  <si>
    <t>t2</t>
  </si>
  <si>
    <t>t'</t>
  </si>
  <si>
    <t>d02決定値</t>
  </si>
  <si>
    <t>式10.4じゃない方</t>
  </si>
  <si>
    <t>データシート　右側の決定値</t>
  </si>
  <si>
    <t>ホブ半径</t>
  </si>
  <si>
    <t>Sp</t>
  </si>
  <si>
    <t>溝幅</t>
  </si>
  <si>
    <t>g</t>
  </si>
  <si>
    <t>lブレーキ</t>
    <phoneticPr fontId="1"/>
  </si>
  <si>
    <t>*1.2</t>
    <phoneticPr fontId="1"/>
  </si>
  <si>
    <t>L3</t>
  </si>
  <si>
    <t>ノートの図8.11図より</t>
  </si>
  <si>
    <t>ZD</t>
  </si>
  <si>
    <t>*2.2</t>
    <phoneticPr fontId="1"/>
  </si>
  <si>
    <t>ドラム両端に5mmずつの余裕があると仮定,スパンとの置換OK</t>
    <rPh sb="3" eb="5">
      <t>リョウタン</t>
    </rPh>
    <rPh sb="12" eb="14">
      <t>ヨユウ</t>
    </rPh>
    <rPh sb="18" eb="20">
      <t>カテイ</t>
    </rPh>
    <rPh sb="26" eb="28">
      <t>チカン</t>
    </rPh>
    <phoneticPr fontId="1"/>
  </si>
  <si>
    <t>ブレーキエッヂ</t>
    <phoneticPr fontId="1"/>
  </si>
  <si>
    <t>d03</t>
  </si>
  <si>
    <t>カラー厚さ</t>
    <rPh sb="3" eb="4">
      <t>アツ</t>
    </rPh>
    <phoneticPr fontId="1"/>
  </si>
  <si>
    <t>ブレーキ輪の端の上げ代の長さ</t>
    <rPh sb="4" eb="5">
      <t>リン</t>
    </rPh>
    <rPh sb="6" eb="7">
      <t>ハシ</t>
    </rPh>
    <rPh sb="8" eb="9">
      <t>ア</t>
    </rPh>
    <rPh sb="10" eb="11">
      <t>シロ</t>
    </rPh>
    <rPh sb="12" eb="13">
      <t>ナガ</t>
    </rPh>
    <phoneticPr fontId="1"/>
  </si>
  <si>
    <t>ldb</t>
  </si>
  <si>
    <t>ブレーキ側</t>
  </si>
  <si>
    <t>余裕なし</t>
  </si>
  <si>
    <t>余裕として+約40</t>
  </si>
  <si>
    <t>つめ車側</t>
  </si>
  <si>
    <t>板厚</t>
  </si>
  <si>
    <t>(b)</t>
  </si>
  <si>
    <t>O1O2</t>
  </si>
  <si>
    <t>(i)</t>
  </si>
  <si>
    <t>n</t>
  </si>
  <si>
    <t>W'</t>
  </si>
  <si>
    <t>フレーム</t>
  </si>
  <si>
    <t>dA</t>
  </si>
  <si>
    <t>E1O1</t>
  </si>
  <si>
    <t>Ls</t>
  </si>
  <si>
    <t>決定値</t>
  </si>
  <si>
    <t>e1</t>
  </si>
  <si>
    <t>dB</t>
  </si>
  <si>
    <t>E1O3</t>
  </si>
  <si>
    <t>ねじ部長さ</t>
  </si>
  <si>
    <t>×2</t>
  </si>
  <si>
    <t>×2.5</t>
  </si>
  <si>
    <t>dD</t>
  </si>
  <si>
    <t>l2</t>
  </si>
  <si>
    <t>(h)</t>
  </si>
  <si>
    <t>A=B=</t>
  </si>
  <si>
    <t>e2</t>
  </si>
  <si>
    <t>×1.5</t>
  </si>
  <si>
    <t>E1B1</t>
  </si>
  <si>
    <t>(c)</t>
  </si>
  <si>
    <t>ドラムカラー</t>
    <phoneticPr fontId="1"/>
  </si>
  <si>
    <t>×1.8</t>
  </si>
  <si>
    <t>L0</t>
  </si>
  <si>
    <t>リベット長さ</t>
  </si>
  <si>
    <t>d(H2)</t>
  </si>
  <si>
    <t>×1.0</t>
  </si>
  <si>
    <t>×1.3d</t>
  </si>
  <si>
    <t>付表3,決定値</t>
    <rPh sb="0" eb="2">
      <t>フヒョウ</t>
    </rPh>
    <phoneticPr fontId="1"/>
  </si>
  <si>
    <t>×1.3</t>
  </si>
  <si>
    <t>×1.6d</t>
  </si>
  <si>
    <t>ナット高さ</t>
  </si>
  <si>
    <t>C</t>
  </si>
  <si>
    <t>(j)</t>
  </si>
  <si>
    <t>L1</t>
  </si>
  <si>
    <t>付表4</t>
  </si>
  <si>
    <t>×0.82</t>
  </si>
  <si>
    <t>スパン</t>
  </si>
  <si>
    <t>×0.85</t>
  </si>
  <si>
    <t>L2</t>
  </si>
  <si>
    <t>図8.11</t>
    <phoneticPr fontId="1"/>
  </si>
  <si>
    <t>決定値　表11.4</t>
  </si>
  <si>
    <t>t</t>
  </si>
  <si>
    <t>r1</t>
  </si>
  <si>
    <t>r2</t>
  </si>
  <si>
    <t>R40,決定値</t>
    <rPh sb="4" eb="6">
      <t>ケッテイ</t>
    </rPh>
    <rPh sb="6" eb="7">
      <t>チ</t>
    </rPh>
    <phoneticPr fontId="1"/>
  </si>
  <si>
    <t>d(H17)</t>
  </si>
  <si>
    <t>アンカーボルト穴d2に相当</t>
    <rPh sb="7" eb="8">
      <t>アナ</t>
    </rPh>
    <rPh sb="11" eb="13">
      <t>ソウトウ</t>
    </rPh>
    <phoneticPr fontId="1"/>
  </si>
  <si>
    <t>穴径</t>
    <rPh sb="0" eb="2">
      <t>アナケイ</t>
    </rPh>
    <phoneticPr fontId="1"/>
  </si>
  <si>
    <t>付表7,2級</t>
    <rPh sb="0" eb="2">
      <t>フヒョウ</t>
    </rPh>
    <rPh sb="5" eb="6">
      <t>キュウ</t>
    </rPh>
    <phoneticPr fontId="1"/>
  </si>
  <si>
    <t>リベット直径</t>
  </si>
  <si>
    <t>σs</t>
  </si>
  <si>
    <t>決定値　表7.13</t>
  </si>
  <si>
    <t>軸の移動量</t>
    <rPh sb="0" eb="1">
      <t>ジク</t>
    </rPh>
    <rPh sb="2" eb="4">
      <t>イドウ</t>
    </rPh>
    <rPh sb="4" eb="5">
      <t>リョウ</t>
    </rPh>
    <phoneticPr fontId="1"/>
  </si>
  <si>
    <t>余裕寸法</t>
    <rPh sb="0" eb="2">
      <t>ヨユウ</t>
    </rPh>
    <rPh sb="2" eb="4">
      <t>スンポウ</t>
    </rPh>
    <phoneticPr fontId="1"/>
  </si>
  <si>
    <t>l-j</t>
    <phoneticPr fontId="1"/>
  </si>
  <si>
    <t>フランジ軸受けDs1</t>
    <rPh sb="4" eb="6">
      <t>ジクウ</t>
    </rPh>
    <phoneticPr fontId="1"/>
  </si>
  <si>
    <t>フランジ軸受けDs2</t>
    <rPh sb="4" eb="6">
      <t>ジクウ</t>
    </rPh>
    <phoneticPr fontId="1"/>
  </si>
  <si>
    <t>例題8.2(h)</t>
    <rPh sb="0" eb="2">
      <t>レイダイ</t>
    </rPh>
    <phoneticPr fontId="1"/>
  </si>
  <si>
    <t>Hが700~1000になるようにする　</t>
    <phoneticPr fontId="1"/>
  </si>
  <si>
    <t>D歯車刃先円直径から床面までの距離</t>
    <rPh sb="1" eb="3">
      <t>ハグルマ</t>
    </rPh>
    <rPh sb="3" eb="5">
      <t>ハサキ</t>
    </rPh>
    <rPh sb="5" eb="6">
      <t>エン</t>
    </rPh>
    <rPh sb="6" eb="8">
      <t>チョッケイ</t>
    </rPh>
    <rPh sb="10" eb="11">
      <t>ユカ</t>
    </rPh>
    <rPh sb="11" eb="12">
      <t>メン</t>
    </rPh>
    <rPh sb="15" eb="17">
      <t>キョリ</t>
    </rPh>
    <phoneticPr fontId="1"/>
  </si>
  <si>
    <t>*1.8</t>
  </si>
  <si>
    <t>(a)</t>
  </si>
  <si>
    <t>フレーム下縁</t>
  </si>
  <si>
    <t>フレーム上縁</t>
  </si>
  <si>
    <t>余裕</t>
    <rPh sb="0" eb="2">
      <t>ヨユウ</t>
    </rPh>
    <phoneticPr fontId="1"/>
  </si>
  <si>
    <t>×0.6</t>
  </si>
  <si>
    <t>教科書の約87mmに相当</t>
    <rPh sb="0" eb="3">
      <t>キョウカショ</t>
    </rPh>
    <rPh sb="4" eb="5">
      <t>ヤク</t>
    </rPh>
    <rPh sb="10" eb="12">
      <t>ソウトウ</t>
    </rPh>
    <phoneticPr fontId="1"/>
  </si>
  <si>
    <t>控えボルトのマージン</t>
  </si>
  <si>
    <t>(d)</t>
  </si>
  <si>
    <t>フレーム全体高さ</t>
  </si>
  <si>
    <t>×3.144</t>
  </si>
  <si>
    <t>↑</t>
  </si>
  <si>
    <t>Inventorの2Dスケッチで全体の位置補正を行って最終値を決定する</t>
  </si>
  <si>
    <t>R5</t>
    <phoneticPr fontId="1"/>
  </si>
  <si>
    <t>R10</t>
    <phoneticPr fontId="1"/>
  </si>
  <si>
    <t>R20</t>
    <phoneticPr fontId="1"/>
  </si>
  <si>
    <t>R40</t>
    <phoneticPr fontId="1"/>
  </si>
  <si>
    <t>ねじの呼び</t>
    <rPh sb="3" eb="4">
      <t>ヨ</t>
    </rPh>
    <phoneticPr fontId="1"/>
  </si>
  <si>
    <t>ピッチ
p</t>
    <phoneticPr fontId="1"/>
  </si>
  <si>
    <t>引っ掛かり高さ
H1</t>
    <rPh sb="0" eb="1">
      <t>ヒ</t>
    </rPh>
    <rPh sb="2" eb="3">
      <t>カ</t>
    </rPh>
    <rPh sb="5" eb="6">
      <t>タカ</t>
    </rPh>
    <phoneticPr fontId="1"/>
  </si>
  <si>
    <t>めねじ</t>
    <phoneticPr fontId="1"/>
  </si>
  <si>
    <t>平座金の呼び径
=ねじの呼び径</t>
    <rPh sb="0" eb="1">
      <t>ヒラ</t>
    </rPh>
    <rPh sb="1" eb="3">
      <t>ザガネ</t>
    </rPh>
    <rPh sb="4" eb="5">
      <t>ヨ</t>
    </rPh>
    <rPh sb="6" eb="7">
      <t>ケイ</t>
    </rPh>
    <rPh sb="12" eb="13">
      <t>ヨ</t>
    </rPh>
    <rPh sb="14" eb="15">
      <t>ケイ</t>
    </rPh>
    <phoneticPr fontId="1"/>
  </si>
  <si>
    <t>内径d1
基準寸法
(最小)</t>
    <rPh sb="0" eb="2">
      <t>ナイケイ</t>
    </rPh>
    <rPh sb="5" eb="7">
      <t>キジュン</t>
    </rPh>
    <rPh sb="7" eb="9">
      <t>スンポウ</t>
    </rPh>
    <rPh sb="11" eb="13">
      <t>サイショウ</t>
    </rPh>
    <phoneticPr fontId="1"/>
  </si>
  <si>
    <t>外径d2
基準寸法
(最大)</t>
    <rPh sb="0" eb="2">
      <t>ガイケイ</t>
    </rPh>
    <rPh sb="5" eb="9">
      <t>キジュンスンポウ</t>
    </rPh>
    <rPh sb="11" eb="13">
      <t>サイダイ</t>
    </rPh>
    <phoneticPr fontId="1"/>
  </si>
  <si>
    <t>厚さh
基準寸法</t>
    <rPh sb="0" eb="1">
      <t>アツ</t>
    </rPh>
    <rPh sb="4" eb="8">
      <t>キジュンスンポウ</t>
    </rPh>
    <phoneticPr fontId="1"/>
  </si>
  <si>
    <t>ねじの呼び径</t>
    <rPh sb="3" eb="4">
      <t>ヨ</t>
    </rPh>
    <rPh sb="5" eb="6">
      <t>ケイ</t>
    </rPh>
    <phoneticPr fontId="1"/>
  </si>
  <si>
    <t>ボルト穴径dh
1級</t>
    <rPh sb="3" eb="5">
      <t>アナケイ</t>
    </rPh>
    <rPh sb="9" eb="10">
      <t>キュウ</t>
    </rPh>
    <phoneticPr fontId="1"/>
  </si>
  <si>
    <t>ボルト穴径dh
2級</t>
    <rPh sb="3" eb="5">
      <t>アナケイ</t>
    </rPh>
    <rPh sb="9" eb="10">
      <t>キュウ</t>
    </rPh>
    <phoneticPr fontId="1"/>
  </si>
  <si>
    <t>面取り
e</t>
    <rPh sb="0" eb="2">
      <t>メント</t>
    </rPh>
    <phoneticPr fontId="1"/>
  </si>
  <si>
    <t>ざぐり径
D'</t>
    <rPh sb="3" eb="4">
      <t>ケイ</t>
    </rPh>
    <phoneticPr fontId="1"/>
  </si>
  <si>
    <t>順位</t>
    <rPh sb="0" eb="2">
      <t>ジュンイ</t>
    </rPh>
    <phoneticPr fontId="1"/>
  </si>
  <si>
    <t>谷の径
D</t>
    <rPh sb="0" eb="1">
      <t>タニ</t>
    </rPh>
    <rPh sb="2" eb="3">
      <t>ケイ</t>
    </rPh>
    <phoneticPr fontId="1"/>
  </si>
  <si>
    <t>有効径
D2</t>
    <rPh sb="0" eb="2">
      <t>ユウコウ</t>
    </rPh>
    <rPh sb="2" eb="3">
      <t>ケイ</t>
    </rPh>
    <phoneticPr fontId="1"/>
  </si>
  <si>
    <t>内径
D1</t>
    <rPh sb="0" eb="2">
      <t>ナイケイ</t>
    </rPh>
    <phoneticPr fontId="1"/>
  </si>
  <si>
    <t>おねじ</t>
    <phoneticPr fontId="1"/>
  </si>
  <si>
    <t>外径
d</t>
    <rPh sb="0" eb="2">
      <t>ガイケイ</t>
    </rPh>
    <phoneticPr fontId="1"/>
  </si>
  <si>
    <t>有効径
d2</t>
    <rPh sb="0" eb="2">
      <t>ユウコウ</t>
    </rPh>
    <rPh sb="2" eb="3">
      <t>ケイ</t>
    </rPh>
    <phoneticPr fontId="1"/>
  </si>
  <si>
    <t>谷の径
d1</t>
    <rPh sb="0" eb="1">
      <t>タニ</t>
    </rPh>
    <rPh sb="2" eb="3">
      <t>ケイ</t>
    </rPh>
    <phoneticPr fontId="1"/>
  </si>
  <si>
    <t>M1</t>
    <phoneticPr fontId="1"/>
  </si>
  <si>
    <t>M1.1</t>
    <phoneticPr fontId="1"/>
  </si>
  <si>
    <t>4-f</t>
    <phoneticPr fontId="1"/>
  </si>
  <si>
    <t>M1.2</t>
    <phoneticPr fontId="1"/>
  </si>
  <si>
    <t>ねじの呼びd</t>
    <rPh sb="3" eb="4">
      <t>ヨ</t>
    </rPh>
    <phoneticPr fontId="1"/>
  </si>
  <si>
    <t>M1.6</t>
    <phoneticPr fontId="1"/>
  </si>
  <si>
    <t>M2</t>
    <phoneticPr fontId="1"/>
  </si>
  <si>
    <t>M2.5</t>
    <phoneticPr fontId="1"/>
  </si>
  <si>
    <t>M3</t>
    <phoneticPr fontId="1"/>
  </si>
  <si>
    <t>M4</t>
    <phoneticPr fontId="1"/>
  </si>
  <si>
    <t>M5</t>
    <phoneticPr fontId="1"/>
  </si>
  <si>
    <t>M6</t>
    <phoneticPr fontId="1"/>
  </si>
  <si>
    <t>M8</t>
    <phoneticPr fontId="1"/>
  </si>
  <si>
    <t>M10</t>
    <phoneticPr fontId="1"/>
  </si>
  <si>
    <t>M12</t>
    <phoneticPr fontId="1"/>
  </si>
  <si>
    <t>M16</t>
    <phoneticPr fontId="1"/>
  </si>
  <si>
    <t>M20</t>
    <phoneticPr fontId="1"/>
  </si>
  <si>
    <t>M24</t>
    <phoneticPr fontId="1"/>
  </si>
  <si>
    <t>M30</t>
    <phoneticPr fontId="1"/>
  </si>
  <si>
    <t>M36</t>
    <phoneticPr fontId="1"/>
  </si>
  <si>
    <t>M42</t>
    <phoneticPr fontId="1"/>
  </si>
  <si>
    <t>M48</t>
    <phoneticPr fontId="1"/>
  </si>
  <si>
    <t>M56</t>
    <phoneticPr fontId="1"/>
  </si>
  <si>
    <t>M64</t>
    <phoneticPr fontId="1"/>
  </si>
  <si>
    <t>M1.4</t>
    <phoneticPr fontId="1"/>
  </si>
  <si>
    <t>ねじの直径</t>
    <rPh sb="3" eb="5">
      <t>チョッケイ</t>
    </rPh>
    <phoneticPr fontId="1"/>
  </si>
  <si>
    <t>ねじのピッチ</t>
    <phoneticPr fontId="1"/>
  </si>
  <si>
    <t>M1.8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</si>
  <si>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</si>
  <si>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</si>
  <si>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M2.2</t>
    <phoneticPr fontId="1"/>
  </si>
  <si>
    <t>da</t>
    <phoneticPr fontId="1"/>
  </si>
  <si>
    <t>M3.5</t>
    <phoneticPr fontId="1"/>
  </si>
  <si>
    <t>M4.5</t>
    <phoneticPr fontId="1"/>
  </si>
  <si>
    <t>mw</t>
    <phoneticPr fontId="1"/>
  </si>
  <si>
    <t>s</t>
    <phoneticPr fontId="1"/>
  </si>
  <si>
    <t>基準</t>
    <rPh sb="0" eb="2">
      <t>キジュン</t>
    </rPh>
    <phoneticPr fontId="1"/>
  </si>
  <si>
    <t>M7</t>
    <phoneticPr fontId="1"/>
  </si>
  <si>
    <t>M9</t>
    <phoneticPr fontId="1"/>
  </si>
  <si>
    <t>M11</t>
    <phoneticPr fontId="1"/>
  </si>
  <si>
    <t>M14</t>
    <phoneticPr fontId="1"/>
  </si>
  <si>
    <t>文献値</t>
    <rPh sb="0" eb="3">
      <t>ブンケンチ</t>
    </rPh>
    <phoneticPr fontId="1"/>
  </si>
  <si>
    <t>M18</t>
    <phoneticPr fontId="1"/>
  </si>
  <si>
    <t>M22</t>
    <phoneticPr fontId="1"/>
  </si>
  <si>
    <t>M27</t>
    <phoneticPr fontId="1"/>
  </si>
  <si>
    <t>M33</t>
    <phoneticPr fontId="1"/>
  </si>
  <si>
    <t>M39</t>
    <phoneticPr fontId="1"/>
  </si>
  <si>
    <t>M45</t>
    <phoneticPr fontId="1"/>
  </si>
  <si>
    <t>M52</t>
    <phoneticPr fontId="1"/>
  </si>
  <si>
    <t>M60</t>
    <phoneticPr fontId="1"/>
  </si>
  <si>
    <t>M68</t>
    <phoneticPr fontId="1"/>
  </si>
  <si>
    <t>-</t>
    <phoneticPr fontId="1"/>
  </si>
  <si>
    <t>ロープ径</t>
    <rPh sb="3" eb="4">
      <t>ケイ</t>
    </rPh>
    <phoneticPr fontId="1"/>
  </si>
  <si>
    <t>破断荷重(kN)
普通裸A種</t>
    <rPh sb="0" eb="2">
      <t>ハダン</t>
    </rPh>
    <rPh sb="2" eb="4">
      <t>カジュウ</t>
    </rPh>
    <phoneticPr fontId="1"/>
  </si>
  <si>
    <t>概算単位質量</t>
    <rPh sb="0" eb="2">
      <t>ガイサン</t>
    </rPh>
    <rPh sb="2" eb="4">
      <t>タンイ</t>
    </rPh>
    <rPh sb="4" eb="6">
      <t>シツリョウ</t>
    </rPh>
    <phoneticPr fontId="1"/>
  </si>
  <si>
    <t>D</t>
    <phoneticPr fontId="1"/>
  </si>
  <si>
    <t>r</t>
    <phoneticPr fontId="1"/>
  </si>
  <si>
    <t>r1</t>
    <phoneticPr fontId="1"/>
  </si>
  <si>
    <t>適用するワイヤーロープ径d</t>
    <rPh sb="0" eb="2">
      <t>テキヨウ</t>
    </rPh>
    <rPh sb="11" eb="12">
      <t>ケイ</t>
    </rPh>
    <phoneticPr fontId="1"/>
  </si>
  <si>
    <t>計算重量(kgf)</t>
    <rPh sb="0" eb="2">
      <t>ケイサン</t>
    </rPh>
    <rPh sb="2" eb="4">
      <t>ジュウリョウ</t>
    </rPh>
    <phoneticPr fontId="1"/>
  </si>
  <si>
    <t>計算重量(N)</t>
    <rPh sb="0" eb="2">
      <t>ケイサン</t>
    </rPh>
    <rPh sb="2" eb="4">
      <t>ジュウリョウ</t>
    </rPh>
    <phoneticPr fontId="1"/>
  </si>
  <si>
    <t>適用するボルト及びピンの径</t>
    <rPh sb="0" eb="2">
      <t>テキヨウ</t>
    </rPh>
    <rPh sb="7" eb="8">
      <t>オヨ</t>
    </rPh>
    <rPh sb="12" eb="13">
      <t>ケイ</t>
    </rPh>
    <phoneticPr fontId="1"/>
  </si>
  <si>
    <t>ボルト</t>
    <phoneticPr fontId="1"/>
  </si>
  <si>
    <t>をこえ</t>
    <phoneticPr fontId="1"/>
  </si>
  <si>
    <t>以下</t>
    <rPh sb="0" eb="2">
      <t>イカ</t>
    </rPh>
    <phoneticPr fontId="1"/>
  </si>
  <si>
    <t>クレビスピン</t>
    <phoneticPr fontId="1"/>
  </si>
  <si>
    <t>ピン穴径</t>
    <rPh sb="2" eb="4">
      <t>アナケイ</t>
    </rPh>
    <phoneticPr fontId="1"/>
  </si>
  <si>
    <t>ブレーキ輪直径D</t>
    <rPh sb="4" eb="5">
      <t>リン</t>
    </rPh>
    <rPh sb="5" eb="7">
      <t>チョッケイ</t>
    </rPh>
    <phoneticPr fontId="1"/>
  </si>
  <si>
    <t>カラー</t>
    <phoneticPr fontId="1"/>
  </si>
  <si>
    <t>ブレーキ帯幅B</t>
    <rPh sb="4" eb="5">
      <t>オビ</t>
    </rPh>
    <rPh sb="5" eb="6">
      <t>ハバ</t>
    </rPh>
    <phoneticPr fontId="1"/>
  </si>
  <si>
    <t>帯の幅b</t>
    <rPh sb="0" eb="1">
      <t>オビ</t>
    </rPh>
    <rPh sb="2" eb="3">
      <t>ハバ</t>
    </rPh>
    <phoneticPr fontId="1"/>
  </si>
  <si>
    <t>*1.8</t>
    <phoneticPr fontId="1"/>
  </si>
  <si>
    <t>帯の厚さ</t>
    <rPh sb="0" eb="1">
      <t>オビ</t>
    </rPh>
    <rPh sb="2" eb="3">
      <t>アツ</t>
    </rPh>
    <phoneticPr fontId="1"/>
  </si>
  <si>
    <t>まで</t>
    <phoneticPr fontId="1"/>
  </si>
  <si>
    <t>裏張りの厚さb1</t>
    <rPh sb="0" eb="1">
      <t>ウラ</t>
    </rPh>
    <rPh sb="1" eb="2">
      <t>バ</t>
    </rPh>
    <rPh sb="4" eb="5">
      <t>アツ</t>
    </rPh>
    <phoneticPr fontId="1"/>
  </si>
  <si>
    <t>裏張りの厚さ(織物)</t>
    <rPh sb="0" eb="1">
      <t>ウラ</t>
    </rPh>
    <rPh sb="1" eb="2">
      <t>バ</t>
    </rPh>
    <rPh sb="4" eb="5">
      <t>アツ</t>
    </rPh>
    <rPh sb="7" eb="9">
      <t>オリモノ</t>
    </rPh>
    <phoneticPr fontId="1"/>
  </si>
  <si>
    <t>I型</t>
    <rPh sb="1" eb="2">
      <t>ガタ</t>
    </rPh>
    <phoneticPr fontId="1"/>
  </si>
  <si>
    <t>J型</t>
    <rPh sb="1" eb="2">
      <t>ガタ</t>
    </rPh>
    <phoneticPr fontId="1"/>
  </si>
  <si>
    <t>モジュール</t>
    <phoneticPr fontId="1"/>
  </si>
  <si>
    <t>丸鋼標準径</t>
    <rPh sb="0" eb="2">
      <t>マルコウ</t>
    </rPh>
    <rPh sb="2" eb="4">
      <t>ヒョウジュン</t>
    </rPh>
    <rPh sb="4" eb="5">
      <t>ケイ</t>
    </rPh>
    <phoneticPr fontId="1"/>
  </si>
  <si>
    <t>直径</t>
    <rPh sb="0" eb="2">
      <t>チョッケイ</t>
    </rPh>
    <phoneticPr fontId="1"/>
  </si>
  <si>
    <t>r2</t>
    <phoneticPr fontId="1"/>
  </si>
  <si>
    <t>断面積</t>
    <rPh sb="0" eb="3">
      <t>ダンメンセキ</t>
    </rPh>
    <phoneticPr fontId="1"/>
  </si>
  <si>
    <t>単位質量</t>
    <rPh sb="0" eb="4">
      <t>タンイシツリョウ</t>
    </rPh>
    <phoneticPr fontId="1"/>
  </si>
  <si>
    <t>最大荷重</t>
    <rPh sb="0" eb="2">
      <t>サイダイ</t>
    </rPh>
    <rPh sb="2" eb="4">
      <t>カジュウ</t>
    </rPh>
    <phoneticPr fontId="1"/>
  </si>
  <si>
    <t>板厚</t>
    <rPh sb="0" eb="2">
      <t>イタアツ</t>
    </rPh>
    <phoneticPr fontId="1"/>
  </si>
  <si>
    <t>軸径</t>
    <rPh sb="0" eb="2">
      <t>ジクケイ</t>
    </rPh>
    <phoneticPr fontId="1"/>
  </si>
  <si>
    <t>cm</t>
    <phoneticPr fontId="1"/>
  </si>
  <si>
    <t>頭部直径</t>
    <rPh sb="0" eb="2">
      <t>トウブ</t>
    </rPh>
    <rPh sb="2" eb="4">
      <t>チョッケイ</t>
    </rPh>
    <phoneticPr fontId="1"/>
  </si>
  <si>
    <t>頭部高さ</t>
    <rPh sb="0" eb="2">
      <t>トウブ</t>
    </rPh>
    <rPh sb="2" eb="3">
      <t>タカ</t>
    </rPh>
    <phoneticPr fontId="1"/>
  </si>
  <si>
    <t>首下の丸み</t>
    <rPh sb="0" eb="1">
      <t>クビ</t>
    </rPh>
    <rPh sb="1" eb="2">
      <t>シタ</t>
    </rPh>
    <rPh sb="3" eb="4">
      <t>マル</t>
    </rPh>
    <phoneticPr fontId="1"/>
  </si>
  <si>
    <t>A-B</t>
    <phoneticPr fontId="1"/>
  </si>
  <si>
    <t>E(deg)</t>
    <phoneticPr fontId="1"/>
  </si>
  <si>
    <t>長さl</t>
    <rPh sb="0" eb="1">
      <t>ナガ</t>
    </rPh>
    <phoneticPr fontId="1"/>
  </si>
  <si>
    <t>lは軸径にで決められた範囲内で決めるが基本overしない
(と思われる)</t>
    <rPh sb="2" eb="4">
      <t>ジクケイ</t>
    </rPh>
    <rPh sb="6" eb="7">
      <t>キ</t>
    </rPh>
    <rPh sb="11" eb="13">
      <t>ハンイ</t>
    </rPh>
    <rPh sb="13" eb="14">
      <t>ナイ</t>
    </rPh>
    <rPh sb="15" eb="16">
      <t>キ</t>
    </rPh>
    <rPh sb="19" eb="21">
      <t>キホン</t>
    </rPh>
    <rPh sb="31" eb="32">
      <t>オモ</t>
    </rPh>
    <phoneticPr fontId="1"/>
  </si>
  <si>
    <t>軸受けd</t>
    <rPh sb="0" eb="2">
      <t>ジクウ</t>
    </rPh>
    <phoneticPr fontId="1"/>
  </si>
  <si>
    <t>自動化シート</t>
    <rPh sb="0" eb="3">
      <t>ジドウカ</t>
    </rPh>
    <phoneticPr fontId="1"/>
  </si>
  <si>
    <t>正の最小値</t>
    <rPh sb="0" eb="1">
      <t>セイ</t>
    </rPh>
    <rPh sb="2" eb="5">
      <t>サイショウチ</t>
    </rPh>
    <phoneticPr fontId="1"/>
  </si>
  <si>
    <t>ねじ直径</t>
    <rPh sb="2" eb="4">
      <t>チョッケイ</t>
    </rPh>
    <phoneticPr fontId="1"/>
  </si>
  <si>
    <t>mWの値</t>
    <rPh sb="3" eb="4">
      <t>アタイ</t>
    </rPh>
    <phoneticPr fontId="1"/>
  </si>
  <si>
    <t>Lの値</t>
    <rPh sb="2" eb="3">
      <t>アタイ</t>
    </rPh>
    <phoneticPr fontId="1"/>
  </si>
  <si>
    <t>d計算値</t>
    <rPh sb="1" eb="4">
      <t>ケイサンチ</t>
    </rPh>
    <phoneticPr fontId="1"/>
  </si>
  <si>
    <t>軸径,呼び</t>
    <rPh sb="0" eb="2">
      <t>ジクケイ</t>
    </rPh>
    <rPh sb="3" eb="4">
      <t>ヨ</t>
    </rPh>
    <phoneticPr fontId="1"/>
  </si>
  <si>
    <t>差</t>
    <rPh sb="0" eb="1">
      <t>サ</t>
    </rPh>
    <phoneticPr fontId="1"/>
  </si>
  <si>
    <t>標準数R10</t>
    <rPh sb="0" eb="2">
      <t>ヒョウジュン</t>
    </rPh>
    <rPh sb="2" eb="3">
      <t>スウ</t>
    </rPh>
    <phoneticPr fontId="1"/>
  </si>
  <si>
    <t>Mねじ谷径</t>
    <rPh sb="3" eb="4">
      <t>タニ</t>
    </rPh>
    <rPh sb="4" eb="5">
      <t>ケイ</t>
    </rPh>
    <phoneticPr fontId="1"/>
  </si>
  <si>
    <t>Mねじ呼び</t>
    <rPh sb="3" eb="4">
      <t>ヨ</t>
    </rPh>
    <phoneticPr fontId="1"/>
  </si>
  <si>
    <t>平座金内径</t>
    <rPh sb="0" eb="1">
      <t>ヒラ</t>
    </rPh>
    <rPh sb="1" eb="3">
      <t>ザガネ</t>
    </rPh>
    <rPh sb="3" eb="5">
      <t>ナイケイ</t>
    </rPh>
    <phoneticPr fontId="1"/>
  </si>
  <si>
    <t>平座金外径</t>
    <rPh sb="0" eb="1">
      <t>ヒラ</t>
    </rPh>
    <rPh sb="1" eb="3">
      <t>ザガネ</t>
    </rPh>
    <rPh sb="3" eb="5">
      <t>ガイケイ</t>
    </rPh>
    <phoneticPr fontId="1"/>
  </si>
  <si>
    <t>Mねじ直径</t>
    <rPh sb="3" eb="5">
      <t>チョッケイ</t>
    </rPh>
    <phoneticPr fontId="1"/>
  </si>
  <si>
    <t>破断荷重</t>
    <rPh sb="0" eb="2">
      <t>ハダン</t>
    </rPh>
    <rPh sb="2" eb="4">
      <t>カジュウ</t>
    </rPh>
    <phoneticPr fontId="1"/>
  </si>
  <si>
    <t>適合ロープ径</t>
    <rPh sb="0" eb="2">
      <t>テキゴウ</t>
    </rPh>
    <rPh sb="5" eb="6">
      <t>ケイ</t>
    </rPh>
    <phoneticPr fontId="1"/>
  </si>
  <si>
    <t>ピッチ</t>
    <phoneticPr fontId="1"/>
  </si>
  <si>
    <t>d2計算値</t>
    <rPh sb="2" eb="5">
      <t>ケイサンチ</t>
    </rPh>
    <phoneticPr fontId="1"/>
  </si>
  <si>
    <t>内径</t>
    <rPh sb="0" eb="2">
      <t>ナイケイ</t>
    </rPh>
    <phoneticPr fontId="1"/>
  </si>
  <si>
    <t>d決定値</t>
    <rPh sb="1" eb="3">
      <t>ケッテイ</t>
    </rPh>
    <rPh sb="3" eb="4">
      <t>チ</t>
    </rPh>
    <phoneticPr fontId="1"/>
  </si>
  <si>
    <t>高さ</t>
    <phoneticPr fontId="1"/>
  </si>
  <si>
    <t>d1計算値</t>
    <rPh sb="2" eb="5">
      <t>ケイサンチ</t>
    </rPh>
    <phoneticPr fontId="1"/>
  </si>
  <si>
    <t>df計算値</t>
    <rPh sb="2" eb="5">
      <t>ケイサンチ</t>
    </rPh>
    <phoneticPr fontId="1"/>
  </si>
  <si>
    <t>m計算値</t>
    <rPh sb="1" eb="4">
      <t>ケイサンチ</t>
    </rPh>
    <phoneticPr fontId="1"/>
  </si>
  <si>
    <t>b1入力値</t>
    <rPh sb="2" eb="5">
      <t>ニュウリョクチ</t>
    </rPh>
    <phoneticPr fontId="1"/>
  </si>
  <si>
    <t>tの値</t>
    <rPh sb="2" eb="3">
      <t>アタイ</t>
    </rPh>
    <phoneticPr fontId="1"/>
  </si>
  <si>
    <t>D及び呼びの決定値</t>
    <rPh sb="1" eb="2">
      <t>オヨ</t>
    </rPh>
    <rPh sb="3" eb="4">
      <t>ヨ</t>
    </rPh>
    <rPh sb="6" eb="8">
      <t>ケッテイ</t>
    </rPh>
    <rPh sb="8" eb="9">
      <t>チ</t>
    </rPh>
    <phoneticPr fontId="1"/>
  </si>
  <si>
    <t>ds1</t>
    <phoneticPr fontId="1"/>
  </si>
  <si>
    <t>td計算値</t>
    <rPh sb="2" eb="5">
      <t>ケイサンチ</t>
    </rPh>
    <phoneticPr fontId="1"/>
  </si>
  <si>
    <t>軸外径計算値</t>
    <rPh sb="0" eb="1">
      <t>ジク</t>
    </rPh>
    <rPh sb="1" eb="3">
      <t>ガイケイ</t>
    </rPh>
    <rPh sb="3" eb="6">
      <t>ケイサンチ</t>
    </rPh>
    <phoneticPr fontId="1"/>
  </si>
  <si>
    <t>幅の帰り値</t>
    <rPh sb="0" eb="1">
      <t>ハバ</t>
    </rPh>
    <rPh sb="2" eb="3">
      <t>カエ</t>
    </rPh>
    <rPh sb="4" eb="5">
      <t>チ</t>
    </rPh>
    <phoneticPr fontId="1"/>
  </si>
  <si>
    <t>止めねじ帰り値</t>
    <rPh sb="0" eb="1">
      <t>ト</t>
    </rPh>
    <rPh sb="4" eb="5">
      <t>カエ</t>
    </rPh>
    <rPh sb="6" eb="7">
      <t>チ</t>
    </rPh>
    <phoneticPr fontId="1"/>
  </si>
  <si>
    <t>ds2</t>
    <phoneticPr fontId="1"/>
  </si>
  <si>
    <t>l計算値</t>
    <rPh sb="1" eb="4">
      <t>ケイサンチ</t>
    </rPh>
    <phoneticPr fontId="1"/>
  </si>
  <si>
    <t>基準長さ</t>
    <rPh sb="0" eb="2">
      <t>キジュン</t>
    </rPh>
    <rPh sb="2" eb="3">
      <t>ナガ</t>
    </rPh>
    <phoneticPr fontId="1"/>
  </si>
  <si>
    <t>S0計算値</t>
    <rPh sb="2" eb="5">
      <t>ケイサンチ</t>
    </rPh>
    <phoneticPr fontId="1"/>
  </si>
  <si>
    <t>t2計算値</t>
    <rPh sb="2" eb="5">
      <t>ケイサンチ</t>
    </rPh>
    <phoneticPr fontId="1"/>
  </si>
  <si>
    <t>歯車モジュール</t>
    <rPh sb="0" eb="2">
      <t>ハグルマ</t>
    </rPh>
    <phoneticPr fontId="1"/>
  </si>
  <si>
    <t>半径</t>
    <rPh sb="0" eb="2">
      <t>ハンケイ</t>
    </rPh>
    <phoneticPr fontId="1"/>
  </si>
  <si>
    <t>正の最小値</t>
  </si>
  <si>
    <t>I型のモジュールの差</t>
    <rPh sb="1" eb="2">
      <t>ガタ</t>
    </rPh>
    <rPh sb="9" eb="10">
      <t>サ</t>
    </rPh>
    <phoneticPr fontId="1"/>
  </si>
  <si>
    <t>系列</t>
    <rPh sb="0" eb="2">
      <t>ケイレツ</t>
    </rPh>
    <phoneticPr fontId="1"/>
  </si>
  <si>
    <t>J型のモジュールの差</t>
    <rPh sb="1" eb="2">
      <t>ガタ</t>
    </rPh>
    <rPh sb="9" eb="10">
      <t>サ</t>
    </rPh>
    <phoneticPr fontId="1"/>
  </si>
  <si>
    <t>差</t>
  </si>
  <si>
    <t>最大値</t>
    <rPh sb="0" eb="3">
      <t>サイダイチ</t>
    </rPh>
    <phoneticPr fontId="1"/>
  </si>
  <si>
    <t>丸め値</t>
    <rPh sb="0" eb="1">
      <t>マル</t>
    </rPh>
    <rPh sb="2" eb="3">
      <t>チ</t>
    </rPh>
    <phoneticPr fontId="1"/>
  </si>
  <si>
    <t>+20した値</t>
    <rPh sb="5" eb="6">
      <t>アタイ</t>
    </rPh>
    <phoneticPr fontId="1"/>
  </si>
  <si>
    <t>f計算値</t>
    <rPh sb="1" eb="4">
      <t>ケイサンチ</t>
    </rPh>
    <phoneticPr fontId="1"/>
  </si>
  <si>
    <t>f'計算値</t>
    <rPh sb="2" eb="5">
      <t>ケイサンチ</t>
    </rPh>
    <phoneticPr fontId="1"/>
  </si>
  <si>
    <t>f'</t>
    <phoneticPr fontId="1"/>
  </si>
  <si>
    <t>f'2</t>
    <phoneticPr fontId="1"/>
  </si>
  <si>
    <t>L0</t>
    <phoneticPr fontId="1"/>
  </si>
  <si>
    <t>リリースノート</t>
    <phoneticPr fontId="1"/>
  </si>
  <si>
    <t>Version</t>
    <phoneticPr fontId="1"/>
  </si>
  <si>
    <t>以下のどれかに該当する場合をbeta版としています。</t>
  </si>
  <si>
    <t>1.計算式等計算するうえにおいて必要な条件がわからないかつ、その後の計算に非常に大きく響く場合</t>
  </si>
  <si>
    <t>2020/05/15</t>
    <phoneticPr fontId="1"/>
  </si>
  <si>
    <t>作成,公開</t>
    <rPh sb="0" eb="2">
      <t>サクセイ</t>
    </rPh>
    <rPh sb="3" eb="5">
      <t>コウカイ</t>
    </rPh>
    <phoneticPr fontId="1"/>
  </si>
  <si>
    <t>1.01.0</t>
    <phoneticPr fontId="1"/>
  </si>
  <si>
    <t>2.上記に該当する曖昧な値を計算に使用する部分がある場合</t>
  </si>
  <si>
    <t>2020/05/16</t>
    <phoneticPr fontId="1"/>
  </si>
  <si>
    <t>リリースノート作成</t>
    <rPh sb="7" eb="9">
      <t>サクセイ</t>
    </rPh>
    <phoneticPr fontId="1"/>
  </si>
  <si>
    <t>1.01.1</t>
    <phoneticPr fontId="1"/>
  </si>
  <si>
    <t>3.出力される値が正確であることが保証できない場合</t>
  </si>
  <si>
    <t>8章部分第Ⅰ軸,第Ⅱ軸の計算シートの実装</t>
  </si>
  <si>
    <t>1.02.0</t>
    <phoneticPr fontId="1"/>
  </si>
  <si>
    <t>4.未完成部分</t>
  </si>
  <si>
    <t xml:space="preserve">全てのシートにおいて計算式微修正				</t>
  </si>
  <si>
    <t>1.02.1</t>
    <phoneticPr fontId="1"/>
  </si>
  <si>
    <t>1.02.2</t>
    <phoneticPr fontId="1"/>
  </si>
  <si>
    <t>2020/05/18</t>
    <phoneticPr fontId="1"/>
  </si>
  <si>
    <t>beta版第Ⅲ軸,beta版自重シート実装</t>
    <rPh sb="5" eb="6">
      <t>ダイ</t>
    </rPh>
    <rPh sb="7" eb="8">
      <t>ジク</t>
    </rPh>
    <rPh sb="14" eb="16">
      <t>ジジュウ</t>
    </rPh>
    <rPh sb="19" eb="21">
      <t>ジッソウ</t>
    </rPh>
    <phoneticPr fontId="1"/>
  </si>
  <si>
    <t>1.03.0</t>
    <phoneticPr fontId="1"/>
  </si>
  <si>
    <t>2020/05/19</t>
    <phoneticPr fontId="1"/>
  </si>
  <si>
    <t>第Ⅰ軸,第Ⅱ軸シート微修正</t>
  </si>
  <si>
    <t>1.03.1</t>
    <phoneticPr fontId="1"/>
  </si>
  <si>
    <t>正式版クランクアームシート実装</t>
  </si>
  <si>
    <t>1.04.0</t>
    <phoneticPr fontId="1"/>
  </si>
  <si>
    <t>9章実装予告</t>
  </si>
  <si>
    <t>1.04.1</t>
    <phoneticPr fontId="1"/>
  </si>
  <si>
    <t>2020/05/20</t>
    <phoneticPr fontId="1"/>
  </si>
  <si>
    <t>9章実装の長期延期の決定</t>
    <rPh sb="5" eb="7">
      <t>チョウキ</t>
    </rPh>
    <phoneticPr fontId="1"/>
  </si>
  <si>
    <t>1.04.2</t>
    <phoneticPr fontId="1"/>
  </si>
  <si>
    <t>beta版A歯車&amp;C歯車シート実装</t>
  </si>
  <si>
    <t>1.05.0</t>
    <phoneticPr fontId="1"/>
  </si>
  <si>
    <t>2020/05/24</t>
    <phoneticPr fontId="1"/>
  </si>
  <si>
    <t>全シートにおける円周率の関数化</t>
  </si>
  <si>
    <t>1.05.1</t>
    <phoneticPr fontId="1"/>
  </si>
  <si>
    <t>beta版A歯車&amp;C歯車シートにコメントの挿入</t>
  </si>
  <si>
    <t>1.05.2</t>
    <phoneticPr fontId="1"/>
  </si>
  <si>
    <t>beta版B歯車実装</t>
  </si>
  <si>
    <t>1.06.0</t>
    <phoneticPr fontId="1"/>
  </si>
  <si>
    <t>2020/05/25</t>
    <phoneticPr fontId="1"/>
  </si>
  <si>
    <t>beta版B歯車追加実装</t>
  </si>
  <si>
    <t>1.06.1</t>
    <phoneticPr fontId="1"/>
  </si>
  <si>
    <t>D歯車実装予告</t>
  </si>
  <si>
    <t>1.06.2</t>
    <phoneticPr fontId="1"/>
  </si>
  <si>
    <t>2020/05/26</t>
    <phoneticPr fontId="1"/>
  </si>
  <si>
    <t>beta版D歯車シート実装</t>
  </si>
  <si>
    <t>1.07.0</t>
    <phoneticPr fontId="1"/>
  </si>
  <si>
    <t>正式版B歯車シート実装</t>
  </si>
  <si>
    <t>1.07.1</t>
    <phoneticPr fontId="1"/>
  </si>
  <si>
    <t>11章実装予告</t>
  </si>
  <si>
    <t>1.07.2</t>
    <phoneticPr fontId="1"/>
  </si>
  <si>
    <t>beta版例題11.1シート実装</t>
  </si>
  <si>
    <t>1.08.0</t>
    <phoneticPr fontId="1"/>
  </si>
  <si>
    <t>2020/05/27</t>
    <phoneticPr fontId="1"/>
  </si>
  <si>
    <t>6章修正</t>
  </si>
  <si>
    <t>1.09.0</t>
    <phoneticPr fontId="1"/>
  </si>
  <si>
    <t>beta版例題11.1シート追加実装</t>
  </si>
  <si>
    <t>1.09.1</t>
    <phoneticPr fontId="1"/>
  </si>
  <si>
    <t>2020/06/02</t>
    <phoneticPr fontId="1"/>
  </si>
  <si>
    <t>beta版例題11.3シート実装</t>
  </si>
  <si>
    <t>1.10.0</t>
    <phoneticPr fontId="1"/>
  </si>
  <si>
    <t>2020/06/09</t>
    <phoneticPr fontId="1"/>
  </si>
  <si>
    <t>例題7.1~7.4微修正</t>
  </si>
  <si>
    <t>1.10.1</t>
    <phoneticPr fontId="1"/>
  </si>
  <si>
    <t>2020/06/17</t>
    <phoneticPr fontId="1"/>
  </si>
  <si>
    <t>7章地殻変動</t>
  </si>
  <si>
    <t>1.11.0</t>
    <phoneticPr fontId="1"/>
  </si>
  <si>
    <t>2020/06/19</t>
    <phoneticPr fontId="1"/>
  </si>
  <si>
    <t>7章自動化率向上</t>
  </si>
  <si>
    <t>1.11.1</t>
    <phoneticPr fontId="1"/>
  </si>
  <si>
    <t>2020/07/09</t>
    <phoneticPr fontId="1"/>
  </si>
  <si>
    <t>8章alpha版プロジェクト始動</t>
  </si>
  <si>
    <t>1.11.2</t>
    <phoneticPr fontId="1"/>
  </si>
  <si>
    <t>2020/07/10</t>
    <phoneticPr fontId="1"/>
  </si>
  <si>
    <t>8章alpha版実装</t>
  </si>
  <si>
    <t>1.12.0</t>
    <phoneticPr fontId="1"/>
  </si>
  <si>
    <t>2020/07/11</t>
    <phoneticPr fontId="1"/>
  </si>
  <si>
    <t>自重微調整</t>
  </si>
  <si>
    <t>1.12.1</t>
    <phoneticPr fontId="1"/>
  </si>
  <si>
    <t>2020/07/12</t>
    <phoneticPr fontId="1"/>
  </si>
  <si>
    <t>第Ⅲ軸修正</t>
  </si>
  <si>
    <t>1.12.2</t>
    <phoneticPr fontId="1"/>
  </si>
  <si>
    <t>2020/07/13</t>
    <phoneticPr fontId="1"/>
  </si>
  <si>
    <t>第Ⅲ軸微調整</t>
  </si>
  <si>
    <t>1.12.3</t>
    <phoneticPr fontId="1"/>
  </si>
  <si>
    <t>2020/08/12</t>
    <phoneticPr fontId="1"/>
  </si>
  <si>
    <t>10章微修正</t>
  </si>
  <si>
    <t>1.12.4</t>
    <phoneticPr fontId="1"/>
  </si>
  <si>
    <t>2020/08/21</t>
    <phoneticPr fontId="1"/>
  </si>
  <si>
    <t>B歯車微修正</t>
  </si>
  <si>
    <t>1.12.5</t>
    <phoneticPr fontId="1"/>
  </si>
  <si>
    <t>2020/09/06</t>
    <phoneticPr fontId="1"/>
  </si>
  <si>
    <t>参考:かみ合い率の追加</t>
  </si>
  <si>
    <t>1.12.6</t>
    <phoneticPr fontId="1"/>
  </si>
  <si>
    <t>2,3章、4,5章微修正</t>
  </si>
  <si>
    <t>1.12.7</t>
    <phoneticPr fontId="1"/>
  </si>
  <si>
    <t>2020/09/09</t>
    <phoneticPr fontId="1"/>
  </si>
  <si>
    <t>自重シートの密度にメモを追加</t>
  </si>
  <si>
    <t>1.12.8</t>
    <phoneticPr fontId="1"/>
  </si>
  <si>
    <t>2020/10/07</t>
    <phoneticPr fontId="1"/>
  </si>
  <si>
    <t>全シートにおける条件分岐の完全自動化</t>
    <rPh sb="8" eb="10">
      <t>ジョウケン</t>
    </rPh>
    <rPh sb="10" eb="12">
      <t>ブンキ</t>
    </rPh>
    <rPh sb="13" eb="15">
      <t>カンゼン</t>
    </rPh>
    <rPh sb="15" eb="18">
      <t>ジドウカ</t>
    </rPh>
    <phoneticPr fontId="1"/>
  </si>
  <si>
    <t>1.12.9</t>
    <phoneticPr fontId="1"/>
  </si>
  <si>
    <t>D歯車正式版リリース</t>
    <rPh sb="1" eb="3">
      <t>ハグルマ</t>
    </rPh>
    <rPh sb="3" eb="6">
      <t>セイシキバン</t>
    </rPh>
    <phoneticPr fontId="1"/>
  </si>
  <si>
    <t>1.13.0</t>
    <phoneticPr fontId="1"/>
  </si>
  <si>
    <t>2020/10/09</t>
    <phoneticPr fontId="1"/>
  </si>
  <si>
    <t>付表シートの実装</t>
    <rPh sb="0" eb="2">
      <t>フヒョウ</t>
    </rPh>
    <rPh sb="6" eb="8">
      <t>ジッソウ</t>
    </rPh>
    <phoneticPr fontId="1"/>
  </si>
  <si>
    <t>1.13.1</t>
    <phoneticPr fontId="1"/>
  </si>
  <si>
    <t>2020/10/12</t>
    <phoneticPr fontId="1"/>
  </si>
  <si>
    <t>メートルねじ表実装</t>
    <rPh sb="6" eb="7">
      <t>ヒョウ</t>
    </rPh>
    <rPh sb="7" eb="9">
      <t>ジッソウ</t>
    </rPh>
    <phoneticPr fontId="1"/>
  </si>
  <si>
    <t>1.13.2</t>
    <phoneticPr fontId="1"/>
  </si>
  <si>
    <t>標準数自動選択機能の実験実装開始</t>
    <rPh sb="0" eb="2">
      <t>ヒョウジュン</t>
    </rPh>
    <rPh sb="2" eb="3">
      <t>スウ</t>
    </rPh>
    <rPh sb="3" eb="5">
      <t>ジドウ</t>
    </rPh>
    <rPh sb="5" eb="7">
      <t>センタク</t>
    </rPh>
    <rPh sb="7" eb="9">
      <t>キノウ</t>
    </rPh>
    <rPh sb="10" eb="12">
      <t>ジッケン</t>
    </rPh>
    <rPh sb="12" eb="14">
      <t>ジッソウ</t>
    </rPh>
    <rPh sb="14" eb="16">
      <t>カイシ</t>
    </rPh>
    <phoneticPr fontId="1"/>
  </si>
  <si>
    <t>1.13.3</t>
    <phoneticPr fontId="1"/>
  </si>
  <si>
    <t>2020/10/13</t>
    <phoneticPr fontId="1"/>
  </si>
  <si>
    <t>メートルねじ自動選択機能の順次実装開始</t>
    <rPh sb="6" eb="8">
      <t>ジドウ</t>
    </rPh>
    <rPh sb="8" eb="10">
      <t>センタク</t>
    </rPh>
    <rPh sb="10" eb="12">
      <t>キノウ</t>
    </rPh>
    <rPh sb="13" eb="15">
      <t>ジュンジ</t>
    </rPh>
    <rPh sb="15" eb="17">
      <t>ジッソウ</t>
    </rPh>
    <rPh sb="17" eb="19">
      <t>カイシ</t>
    </rPh>
    <phoneticPr fontId="1"/>
  </si>
  <si>
    <t>1.13.4</t>
    <phoneticPr fontId="1"/>
  </si>
  <si>
    <t>計算値から各表の値の自動抽出機能順次実装開始</t>
    <rPh sb="0" eb="3">
      <t>ケイサンチ</t>
    </rPh>
    <rPh sb="5" eb="6">
      <t>カク</t>
    </rPh>
    <rPh sb="6" eb="7">
      <t>ヒョウ</t>
    </rPh>
    <rPh sb="8" eb="9">
      <t>アタイ</t>
    </rPh>
    <rPh sb="10" eb="12">
      <t>ジドウ</t>
    </rPh>
    <rPh sb="12" eb="14">
      <t>チュウシュツ</t>
    </rPh>
    <rPh sb="14" eb="16">
      <t>キノウ</t>
    </rPh>
    <rPh sb="16" eb="18">
      <t>ジュンジ</t>
    </rPh>
    <rPh sb="18" eb="20">
      <t>ジッソウ</t>
    </rPh>
    <rPh sb="20" eb="22">
      <t>カイシ</t>
    </rPh>
    <phoneticPr fontId="1"/>
  </si>
  <si>
    <t>1.13.5</t>
    <phoneticPr fontId="1"/>
  </si>
  <si>
    <t>2章実装</t>
    <rPh sb="1" eb="2">
      <t>ショウ</t>
    </rPh>
    <rPh sb="2" eb="4">
      <t>ジッソウ</t>
    </rPh>
    <phoneticPr fontId="1"/>
  </si>
  <si>
    <t>1.14.0</t>
    <phoneticPr fontId="1"/>
  </si>
  <si>
    <t>2020/10/16</t>
    <phoneticPr fontId="1"/>
  </si>
  <si>
    <t>主要教科書掲載表実装</t>
    <rPh sb="0" eb="2">
      <t>シュヨウ</t>
    </rPh>
    <rPh sb="2" eb="5">
      <t>キョウカショ</t>
    </rPh>
    <rPh sb="5" eb="7">
      <t>ケイサイ</t>
    </rPh>
    <rPh sb="7" eb="8">
      <t>ヒョウ</t>
    </rPh>
    <rPh sb="8" eb="10">
      <t>ジッソウ</t>
    </rPh>
    <phoneticPr fontId="1"/>
  </si>
  <si>
    <t>1.14.1</t>
    <phoneticPr fontId="1"/>
  </si>
  <si>
    <t>2020/10/17</t>
    <phoneticPr fontId="1"/>
  </si>
  <si>
    <t>例題11.2正式版リリース</t>
    <rPh sb="0" eb="2">
      <t>レイダイ</t>
    </rPh>
    <rPh sb="6" eb="9">
      <t>セイシキバン</t>
    </rPh>
    <phoneticPr fontId="1"/>
  </si>
  <si>
    <t>1.15.0</t>
    <phoneticPr fontId="1"/>
  </si>
  <si>
    <t>例題11.3正式版リリース</t>
    <rPh sb="0" eb="2">
      <t>レイダイ</t>
    </rPh>
    <rPh sb="6" eb="9">
      <t>セイシキバン</t>
    </rPh>
    <phoneticPr fontId="1"/>
  </si>
  <si>
    <t>1.15.1</t>
    <phoneticPr fontId="1"/>
  </si>
  <si>
    <t>8章キー板の寸法自動選択機能の実装</t>
    <rPh sb="1" eb="2">
      <t>ショウ</t>
    </rPh>
    <rPh sb="4" eb="5">
      <t>イタ</t>
    </rPh>
    <rPh sb="6" eb="8">
      <t>スンポウ</t>
    </rPh>
    <rPh sb="8" eb="10">
      <t>ジドウ</t>
    </rPh>
    <rPh sb="10" eb="12">
      <t>センタク</t>
    </rPh>
    <rPh sb="12" eb="14">
      <t>キノウ</t>
    </rPh>
    <rPh sb="15" eb="17">
      <t>ジッソウ</t>
    </rPh>
    <phoneticPr fontId="1"/>
  </si>
  <si>
    <t>1.15.2</t>
    <phoneticPr fontId="1"/>
  </si>
  <si>
    <t>9章正式実装</t>
    <rPh sb="1" eb="2">
      <t>ショウ</t>
    </rPh>
    <rPh sb="2" eb="4">
      <t>セイシキ</t>
    </rPh>
    <rPh sb="4" eb="6">
      <t>ジッソウ</t>
    </rPh>
    <phoneticPr fontId="1"/>
  </si>
  <si>
    <t>1.15.3</t>
    <phoneticPr fontId="1"/>
  </si>
  <si>
    <t>例題11.1正式版リリース</t>
    <rPh sb="0" eb="2">
      <t>レイダイ</t>
    </rPh>
    <rPh sb="6" eb="9">
      <t>セイシキバン</t>
    </rPh>
    <phoneticPr fontId="1"/>
  </si>
  <si>
    <t>1.15.4</t>
    <phoneticPr fontId="1"/>
  </si>
  <si>
    <t>2020/10/24</t>
  </si>
  <si>
    <t>自動算出ミス修正</t>
  </si>
  <si>
    <t>1.15.5</t>
  </si>
  <si>
    <t>2020/10/25</t>
  </si>
  <si>
    <t>11章自動算出調整</t>
  </si>
  <si>
    <t>1.15.6</t>
  </si>
  <si>
    <t>2020/10/26</t>
  </si>
  <si>
    <t>例題11.3上縁側長さの自動決定修正</t>
  </si>
  <si>
    <t>1.15.7</t>
  </si>
  <si>
    <t>修正レポート:組み立て時にフレームの外にフランジ軸受けが飛び出さないように修正</t>
  </si>
  <si>
    <t>2020/10/30</t>
  </si>
  <si>
    <t>dwの参照先ミス修正</t>
  </si>
  <si>
    <t>1.15.8</t>
  </si>
  <si>
    <t>正の最小値</t>
    <rPh sb="0" eb="1">
      <t>セイ</t>
    </rPh>
    <rPh sb="2" eb="4">
      <t>サイショウ</t>
    </rPh>
    <rPh sb="4" eb="5">
      <t>チ</t>
    </rPh>
    <phoneticPr fontId="1"/>
  </si>
  <si>
    <t>ブレーキ輪の幅</t>
    <rPh sb="4" eb="5">
      <t>リン</t>
    </rPh>
    <rPh sb="6" eb="7">
      <t>ハバ</t>
    </rPh>
    <phoneticPr fontId="1"/>
  </si>
  <si>
    <t>帯の幅</t>
    <rPh sb="0" eb="1">
      <t>オビ</t>
    </rPh>
    <rPh sb="2" eb="3">
      <t>ハバ</t>
    </rPh>
    <phoneticPr fontId="1"/>
  </si>
  <si>
    <t>裏張りの幅</t>
    <rPh sb="0" eb="1">
      <t>ウラ</t>
    </rPh>
    <rPh sb="1" eb="2">
      <t>バ</t>
    </rPh>
    <rPh sb="4" eb="5">
      <t>ハバ</t>
    </rPh>
    <phoneticPr fontId="1"/>
  </si>
  <si>
    <t>裏張りの厚さ</t>
    <rPh sb="0" eb="1">
      <t>ウラ</t>
    </rPh>
    <rPh sb="1" eb="2">
      <t>バ</t>
    </rPh>
    <rPh sb="4" eb="5">
      <t>アツ</t>
    </rPh>
    <phoneticPr fontId="1"/>
  </si>
  <si>
    <t>2020/10/30</t>
    <phoneticPr fontId="1"/>
  </si>
  <si>
    <t>歯車のモジュール自動選択設定ミス修正</t>
    <rPh sb="0" eb="2">
      <t>ハグルマ</t>
    </rPh>
    <rPh sb="8" eb="10">
      <t>ジドウ</t>
    </rPh>
    <rPh sb="10" eb="12">
      <t>センタク</t>
    </rPh>
    <rPh sb="12" eb="14">
      <t>セッテイ</t>
    </rPh>
    <rPh sb="16" eb="18">
      <t>シュウセイ</t>
    </rPh>
    <phoneticPr fontId="1"/>
  </si>
  <si>
    <t>1.16.0</t>
    <phoneticPr fontId="1"/>
  </si>
  <si>
    <t>自動計算設定ミス修正</t>
    <rPh sb="0" eb="2">
      <t>ジドウ</t>
    </rPh>
    <rPh sb="2" eb="4">
      <t>ケイサン</t>
    </rPh>
    <rPh sb="4" eb="6">
      <t>セッテイ</t>
    </rPh>
    <rPh sb="8" eb="10">
      <t>シュウセイ</t>
    </rPh>
    <phoneticPr fontId="1"/>
  </si>
  <si>
    <t>1.15.9</t>
    <phoneticPr fontId="1"/>
  </si>
  <si>
    <t>2021/01/10</t>
    <phoneticPr fontId="1"/>
  </si>
  <si>
    <t>DBの値が表の外に出た際でもエラーにならないように修正</t>
    <rPh sb="3" eb="4">
      <t>アタイ</t>
    </rPh>
    <rPh sb="5" eb="6">
      <t>ヒョウ</t>
    </rPh>
    <rPh sb="7" eb="8">
      <t>ソト</t>
    </rPh>
    <rPh sb="9" eb="10">
      <t>デ</t>
    </rPh>
    <rPh sb="11" eb="12">
      <t>サイ</t>
    </rPh>
    <rPh sb="25" eb="27">
      <t>シュウセイ</t>
    </rPh>
    <phoneticPr fontId="1"/>
  </si>
  <si>
    <t>1.16.1</t>
    <phoneticPr fontId="1"/>
  </si>
  <si>
    <t>範囲指定の修正と最小値が0以上の場合にエラーにならないように修正</t>
  </si>
  <si>
    <t>2021/01/17</t>
    <phoneticPr fontId="1"/>
  </si>
  <si>
    <t>1.16.2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</si>
</sst>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_ "/>
    <numFmt numFmtId="178" formatCode="0.0_);[Red]\(0.0\)"/>
    <numFmt numFmtId="179" formatCode="0_);[Red]\(0\)"/>
    <numFmt numFmtId="180" formatCode="0_ "/>
    <numFmt numFmtId="181" formatCode="0.000_);[Red]\(0.000\)"/>
    <numFmt numFmtId="182" formatCode="0.00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Italic"/>
    </font>
    <font>
      <sz val="11"/>
      <color theme="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ItalicC"/>
    </font>
    <font>
      <i/>
      <sz val="11"/>
      <color theme="1"/>
      <name val="游ゴシック"/>
      <family val="3"/>
      <charset val="128"/>
      <scheme val="minor"/>
    </font>
    <font>
      <sz val="11"/>
      <color theme="2" tint="-0.89999084444715716"/>
      <name val="ItalicC"/>
    </font>
    <font>
      <sz val="11"/>
      <color theme="1"/>
      <name val="Times New Roman"/>
      <family val="1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5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>
      <alignment vertical="center"/>
    </xf>
    <xf numFmtId="56" fontId="0" fillId="0" borderId="0" xfId="0" quotePrefix="1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182" fontId="0" fillId="0" borderId="42" xfId="0" applyNumberFormat="1" applyBorder="1" applyAlignment="1">
      <alignment horizontal="center" vertical="center"/>
    </xf>
    <xf numFmtId="182" fontId="0" fillId="0" borderId="43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2" fontId="0" fillId="0" borderId="45" xfId="0" applyNumberFormat="1" applyBorder="1" applyAlignment="1">
      <alignment horizontal="center" vertical="center"/>
    </xf>
    <xf numFmtId="182" fontId="0" fillId="0" borderId="47" xfId="0" applyNumberFormat="1" applyBorder="1" applyAlignment="1">
      <alignment horizontal="center" vertical="center"/>
    </xf>
    <xf numFmtId="182" fontId="0" fillId="0" borderId="48" xfId="0" applyNumberFormat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vertical="center"/>
    </xf>
    <xf numFmtId="0" fontId="0" fillId="0" borderId="7" xfId="0" applyBorder="1">
      <alignment vertical="center"/>
    </xf>
    <xf numFmtId="0" fontId="0" fillId="0" borderId="50" xfId="0" applyBorder="1">
      <alignment vertical="center"/>
    </xf>
    <xf numFmtId="176" fontId="0" fillId="0" borderId="0" xfId="0" applyNumberFormat="1">
      <alignment vertical="center"/>
    </xf>
    <xf numFmtId="0" fontId="0" fillId="0" borderId="49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1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70" xfId="0" applyBorder="1">
      <alignment vertical="center"/>
    </xf>
    <xf numFmtId="0" fontId="0" fillId="0" borderId="81" xfId="0" applyBorder="1" applyAlignment="1">
      <alignment horizontal="center" vertical="center"/>
    </xf>
    <xf numFmtId="0" fontId="0" fillId="0" borderId="77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41" xfId="0" applyBorder="1">
      <alignment vertical="center"/>
    </xf>
    <xf numFmtId="0" fontId="0" fillId="0" borderId="70" xfId="0" applyBorder="1" applyAlignment="1">
      <alignment horizontal="left"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84" xfId="0" applyBorder="1">
      <alignment vertical="center"/>
    </xf>
    <xf numFmtId="0" fontId="0" fillId="0" borderId="83" xfId="0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0" fillId="0" borderId="45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0" fillId="0" borderId="33" xfId="0" applyFill="1" applyBorder="1">
      <alignment vertical="center"/>
    </xf>
    <xf numFmtId="0" fontId="0" fillId="0" borderId="45" xfId="0" applyFill="1" applyBorder="1">
      <alignment vertical="center"/>
    </xf>
    <xf numFmtId="0" fontId="0" fillId="0" borderId="48" xfId="0" applyFill="1" applyBorder="1">
      <alignment vertical="center"/>
    </xf>
    <xf numFmtId="0" fontId="10" fillId="0" borderId="46" xfId="0" applyFont="1" applyBorder="1">
      <alignment vertical="center"/>
    </xf>
    <xf numFmtId="0" fontId="10" fillId="0" borderId="47" xfId="0" applyFont="1" applyBorder="1">
      <alignment vertical="center"/>
    </xf>
    <xf numFmtId="176" fontId="5" fillId="0" borderId="35" xfId="0" applyNumberFormat="1" applyFont="1" applyBorder="1" applyAlignment="1">
      <alignment horizontal="center" vertical="center"/>
    </xf>
    <xf numFmtId="176" fontId="5" fillId="0" borderId="37" xfId="0" applyNumberFormat="1" applyFont="1" applyBorder="1" applyAlignment="1">
      <alignment horizontal="center" vertical="center"/>
    </xf>
    <xf numFmtId="177" fontId="5" fillId="0" borderId="37" xfId="0" applyNumberFormat="1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7" xfId="0" applyNumberFormat="1" applyFont="1" applyFill="1" applyBorder="1" applyAlignment="1">
      <alignment horizontal="center" vertical="center"/>
    </xf>
    <xf numFmtId="0" fontId="5" fillId="0" borderId="39" xfId="0" applyNumberFormat="1" applyFont="1" applyFill="1" applyBorder="1" applyAlignment="1">
      <alignment horizontal="center" vertical="top"/>
    </xf>
    <xf numFmtId="0" fontId="5" fillId="0" borderId="32" xfId="0" applyNumberFormat="1" applyFont="1" applyFill="1" applyBorder="1" applyAlignment="1">
      <alignment horizontal="center" vertical="top"/>
    </xf>
    <xf numFmtId="0" fontId="11" fillId="2" borderId="1" xfId="0" applyFont="1" applyFill="1" applyBorder="1">
      <alignment vertical="center"/>
    </xf>
    <xf numFmtId="0" fontId="4" fillId="0" borderId="79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0" borderId="31" xfId="0" applyNumberFormat="1" applyFont="1" applyFill="1" applyBorder="1" applyAlignment="1">
      <alignment horizontal="center" vertical="top"/>
    </xf>
    <xf numFmtId="0" fontId="5" fillId="0" borderId="29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36" xfId="0" applyNumberFormat="1" applyFont="1" applyFill="1" applyBorder="1" applyAlignment="1">
      <alignment horizontal="center" vertical="top"/>
    </xf>
    <xf numFmtId="181" fontId="5" fillId="0" borderId="36" xfId="0" applyNumberFormat="1" applyFont="1" applyBorder="1" applyAlignment="1">
      <alignment vertical="top"/>
    </xf>
    <xf numFmtId="0" fontId="5" fillId="0" borderId="31" xfId="0" applyNumberFormat="1" applyFont="1" applyFill="1" applyBorder="1" applyAlignment="1">
      <alignment horizontal="center" vertical="top"/>
    </xf>
    <xf numFmtId="181" fontId="5" fillId="0" borderId="31" xfId="0" applyNumberFormat="1" applyFont="1" applyBorder="1" applyAlignment="1">
      <alignment horizontal="center" vertical="top"/>
    </xf>
    <xf numFmtId="0" fontId="5" fillId="0" borderId="36" xfId="0" applyNumberFormat="1" applyFont="1" applyFill="1" applyBorder="1" applyAlignment="1">
      <alignment vertical="top"/>
    </xf>
    <xf numFmtId="179" fontId="5" fillId="0" borderId="36" xfId="0" applyNumberFormat="1" applyFont="1" applyBorder="1" applyAlignment="1">
      <alignment vertical="top"/>
    </xf>
    <xf numFmtId="179" fontId="5" fillId="0" borderId="38" xfId="0" applyNumberFormat="1" applyFont="1" applyBorder="1" applyAlignment="1">
      <alignment vertical="top"/>
    </xf>
    <xf numFmtId="180" fontId="5" fillId="0" borderId="31" xfId="0" applyNumberFormat="1" applyFont="1" applyBorder="1" applyAlignment="1">
      <alignment horizontal="center" vertical="top"/>
    </xf>
    <xf numFmtId="180" fontId="5" fillId="0" borderId="39" xfId="0" applyNumberFormat="1" applyFont="1" applyBorder="1" applyAlignment="1">
      <alignment horizontal="center" vertical="top"/>
    </xf>
    <xf numFmtId="179" fontId="5" fillId="0" borderId="27" xfId="0" applyNumberFormat="1" applyFont="1" applyBorder="1" applyAlignment="1">
      <alignment vertical="top"/>
    </xf>
    <xf numFmtId="180" fontId="5" fillId="0" borderId="32" xfId="0" applyNumberFormat="1" applyFont="1" applyBorder="1" applyAlignment="1">
      <alignment horizontal="center" vertical="top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top"/>
    </xf>
    <xf numFmtId="0" fontId="5" fillId="0" borderId="36" xfId="0" applyFont="1" applyBorder="1" applyAlignment="1">
      <alignment vertical="top"/>
    </xf>
    <xf numFmtId="176" fontId="5" fillId="0" borderId="33" xfId="0" applyNumberFormat="1" applyFont="1" applyBorder="1" applyAlignment="1">
      <alignment horizontal="center" vertical="top"/>
    </xf>
    <xf numFmtId="176" fontId="5" fillId="0" borderId="31" xfId="0" applyNumberFormat="1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76" fontId="5" fillId="0" borderId="36" xfId="0" applyNumberFormat="1" applyFont="1" applyBorder="1" applyAlignment="1">
      <alignment horizontal="center" vertical="top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78" fontId="5" fillId="0" borderId="36" xfId="0" applyNumberFormat="1" applyFont="1" applyBorder="1" applyAlignment="1">
      <alignment vertical="top"/>
    </xf>
    <xf numFmtId="177" fontId="5" fillId="0" borderId="31" xfId="0" applyNumberFormat="1" applyFont="1" applyBorder="1" applyAlignment="1">
      <alignment horizontal="center" vertical="top"/>
    </xf>
    <xf numFmtId="178" fontId="5" fillId="0" borderId="31" xfId="0" applyNumberFormat="1" applyFont="1" applyBorder="1" applyAlignment="1">
      <alignment horizontal="center" vertical="top"/>
    </xf>
    <xf numFmtId="179" fontId="5" fillId="0" borderId="31" xfId="0" applyNumberFormat="1" applyFont="1" applyBorder="1" applyAlignment="1">
      <alignment horizontal="center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3" xfId="0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4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AB9-0983-42B0-B36F-A67B04725CA5}">
  <dimension ref="A1:E6"/>
  <sheetViews>
    <sheetView tabSelected="1" workbookViewId="0">
      <selection activeCell="C13" sqref="C13"/>
    </sheetView>
  </sheetViews>
  <sheetFormatPr defaultRowHeight="18.75" x14ac:dyDescent="0.4"/>
  <sheetData>
    <row r="1" spans="1:5" x14ac:dyDescent="0.4">
      <c r="A1" t="s">
        <v>0</v>
      </c>
      <c r="B1" s="3" t="s">
        <v>1</v>
      </c>
      <c r="D1" t="s">
        <v>2</v>
      </c>
    </row>
    <row r="2" spans="1:5" x14ac:dyDescent="0.4">
      <c r="A2" s="1">
        <v>12</v>
      </c>
      <c r="B2" t="s">
        <v>3</v>
      </c>
      <c r="D2">
        <f>A2*A6</f>
        <v>72</v>
      </c>
    </row>
    <row r="3" spans="1:5" x14ac:dyDescent="0.4">
      <c r="A3" t="s">
        <v>4</v>
      </c>
      <c r="B3" t="s">
        <v>5</v>
      </c>
      <c r="D3" t="s">
        <v>6</v>
      </c>
    </row>
    <row r="4" spans="1:5" x14ac:dyDescent="0.4">
      <c r="A4" s="1">
        <v>45</v>
      </c>
      <c r="B4" t="s">
        <v>7</v>
      </c>
      <c r="D4">
        <f>自動化シート!T3</f>
        <v>12</v>
      </c>
    </row>
    <row r="5" spans="1:5" x14ac:dyDescent="0.4">
      <c r="A5" t="s">
        <v>8</v>
      </c>
      <c r="D5" t="s">
        <v>9</v>
      </c>
    </row>
    <row r="6" spans="1:5" x14ac:dyDescent="0.4">
      <c r="A6">
        <v>6</v>
      </c>
      <c r="D6">
        <f>自動化シート!W3</f>
        <v>12</v>
      </c>
      <c r="E6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A3" sqref="A3"/>
    </sheetView>
  </sheetViews>
  <sheetFormatPr defaultRowHeight="18.75" x14ac:dyDescent="0.4"/>
  <cols>
    <col min="2" max="2" width="45.125" customWidth="1"/>
  </cols>
  <sheetData>
    <row r="1" spans="1:12" x14ac:dyDescent="0.4">
      <c r="A1" t="s">
        <v>6</v>
      </c>
      <c r="D1" t="s">
        <v>11</v>
      </c>
      <c r="G1" t="s">
        <v>12</v>
      </c>
      <c r="K1" t="s">
        <v>13</v>
      </c>
    </row>
    <row r="2" spans="1:12" x14ac:dyDescent="0.4">
      <c r="A2" s="9">
        <f>'2章'!D4</f>
        <v>12</v>
      </c>
      <c r="D2">
        <f>16.2*A2</f>
        <v>194.39999999999998</v>
      </c>
      <c r="G2">
        <f>ROUND(SQRT(((4000*D17)/(PI()*A24))),2)</f>
        <v>16.690000000000001</v>
      </c>
      <c r="K2">
        <f>D17*A8*1000</f>
        <v>551250</v>
      </c>
    </row>
    <row r="3" spans="1:12" x14ac:dyDescent="0.4">
      <c r="A3" t="s">
        <v>14</v>
      </c>
      <c r="D3" t="s">
        <v>15</v>
      </c>
      <c r="G3" t="s">
        <v>16</v>
      </c>
      <c r="K3" t="s">
        <v>17</v>
      </c>
    </row>
    <row r="4" spans="1:12" x14ac:dyDescent="0.4">
      <c r="A4" s="1">
        <f>ROUNDUP(D2,0)</f>
        <v>195</v>
      </c>
      <c r="B4" t="s">
        <v>18</v>
      </c>
      <c r="D4">
        <f>A2+2</f>
        <v>14</v>
      </c>
      <c r="G4">
        <f>ROUND((A18*1000)/((A32-A34)*A36),2)</f>
        <v>10.71</v>
      </c>
      <c r="K4">
        <f>ROUND(SQRT(((A4/2)*A18*1000*8)/(6*PI()*A42*G10)),2)</f>
        <v>7.28</v>
      </c>
      <c r="L4" t="s">
        <v>19</v>
      </c>
    </row>
    <row r="5" spans="1:12" x14ac:dyDescent="0.4">
      <c r="A5" t="s">
        <v>20</v>
      </c>
      <c r="D5" t="s">
        <v>21</v>
      </c>
      <c r="G5" s="2" t="s">
        <v>22</v>
      </c>
      <c r="K5" t="s">
        <v>23</v>
      </c>
    </row>
    <row r="6" spans="1:12" x14ac:dyDescent="0.4">
      <c r="A6" s="9">
        <f>ROUND(D4,0)</f>
        <v>14</v>
      </c>
      <c r="B6" t="s">
        <v>24</v>
      </c>
      <c r="D6">
        <f>ROUND(((A8*1000)/(A70*A4))+3,2)</f>
        <v>76.459999999999994</v>
      </c>
      <c r="G6">
        <f>1.5*A40+A38</f>
        <v>42.5</v>
      </c>
      <c r="K6" t="str">
        <f>自動化シート!K28</f>
        <v>M8</v>
      </c>
      <c r="L6" t="s">
        <v>25</v>
      </c>
    </row>
    <row r="7" spans="1:12" x14ac:dyDescent="0.4">
      <c r="A7" t="s">
        <v>4</v>
      </c>
      <c r="D7" s="2" t="s">
        <v>26</v>
      </c>
      <c r="G7" t="s">
        <v>27</v>
      </c>
    </row>
    <row r="8" spans="1:12" x14ac:dyDescent="0.4">
      <c r="A8" s="9">
        <f>'2章'!A4</f>
        <v>45</v>
      </c>
      <c r="B8" t="s">
        <v>5</v>
      </c>
      <c r="D8">
        <f>A10*A6</f>
        <v>1078</v>
      </c>
      <c r="G8">
        <f>A22+(G6-A22)+6</f>
        <v>48.5</v>
      </c>
      <c r="H8" t="s">
        <v>28</v>
      </c>
    </row>
    <row r="9" spans="1:12" x14ac:dyDescent="0.4">
      <c r="A9" t="s">
        <v>29</v>
      </c>
      <c r="D9" s="2" t="s">
        <v>30</v>
      </c>
      <c r="G9" t="s">
        <v>31</v>
      </c>
    </row>
    <row r="10" spans="1:12" x14ac:dyDescent="0.4">
      <c r="A10">
        <f>ROUNDUP(D6,0)</f>
        <v>77</v>
      </c>
      <c r="B10" t="s">
        <v>32</v>
      </c>
      <c r="D10">
        <f>D8+120</f>
        <v>1198</v>
      </c>
      <c r="G10">
        <f>A4*1.2</f>
        <v>234</v>
      </c>
    </row>
    <row r="11" spans="1:12" x14ac:dyDescent="0.4">
      <c r="A11" s="2" t="s">
        <v>33</v>
      </c>
      <c r="D11" t="s">
        <v>34</v>
      </c>
    </row>
    <row r="12" spans="1:12" x14ac:dyDescent="0.4">
      <c r="A12" s="1">
        <v>1200</v>
      </c>
      <c r="B12" t="s">
        <v>35</v>
      </c>
      <c r="D12">
        <f>ROUND((A70*A4*A10)+2*(40*A2+A14*2*1.3),0)</f>
        <v>48578</v>
      </c>
      <c r="E12" t="s">
        <v>36</v>
      </c>
    </row>
    <row r="13" spans="1:12" x14ac:dyDescent="0.4">
      <c r="A13" t="s">
        <v>4</v>
      </c>
      <c r="D13">
        <f>ROUNDUP(D12/1000,0)</f>
        <v>49</v>
      </c>
      <c r="E13" t="s">
        <v>7</v>
      </c>
    </row>
    <row r="14" spans="1:12" x14ac:dyDescent="0.4">
      <c r="A14" s="9">
        <f>自動化シート!X3</f>
        <v>86</v>
      </c>
      <c r="B14" t="s">
        <v>37</v>
      </c>
      <c r="D14" t="s">
        <v>38</v>
      </c>
    </row>
    <row r="15" spans="1:12" x14ac:dyDescent="0.4">
      <c r="A15" t="s">
        <v>39</v>
      </c>
      <c r="D15">
        <f>ROUND(A16*D13*9.80665,2)</f>
        <v>248.43</v>
      </c>
    </row>
    <row r="16" spans="1:12" x14ac:dyDescent="0.4">
      <c r="A16" s="9">
        <f>自動化シート!U3</f>
        <v>0.51700000000000002</v>
      </c>
      <c r="B16" t="s">
        <v>40</v>
      </c>
      <c r="D16" t="s">
        <v>0</v>
      </c>
    </row>
    <row r="17" spans="1:4" x14ac:dyDescent="0.4">
      <c r="A17" t="s">
        <v>41</v>
      </c>
      <c r="D17">
        <f>ROUND((D15/1000)+A18,2)</f>
        <v>12.25</v>
      </c>
    </row>
    <row r="18" spans="1:4" x14ac:dyDescent="0.4">
      <c r="A18" s="9">
        <f>'2章'!A2</f>
        <v>12</v>
      </c>
      <c r="B18" t="s">
        <v>42</v>
      </c>
      <c r="D18" t="s">
        <v>27</v>
      </c>
    </row>
    <row r="19" spans="1:4" x14ac:dyDescent="0.4">
      <c r="A19" t="s">
        <v>43</v>
      </c>
      <c r="D19">
        <f>ROUND((1000*D17)/(A20*A6),2)</f>
        <v>17.5</v>
      </c>
    </row>
    <row r="20" spans="1:4" x14ac:dyDescent="0.4">
      <c r="A20">
        <v>50</v>
      </c>
      <c r="D20" t="s">
        <v>44</v>
      </c>
    </row>
    <row r="21" spans="1:4" x14ac:dyDescent="0.4">
      <c r="A21" t="s">
        <v>45</v>
      </c>
      <c r="D21">
        <f>A4+3*A2*2</f>
        <v>267</v>
      </c>
    </row>
    <row r="22" spans="1:4" x14ac:dyDescent="0.4">
      <c r="A22" s="9">
        <f>自動化シート!C68</f>
        <v>20</v>
      </c>
      <c r="B22" t="s">
        <v>46</v>
      </c>
      <c r="D22" t="s">
        <v>47</v>
      </c>
    </row>
    <row r="23" spans="1:4" x14ac:dyDescent="0.4">
      <c r="A23" t="s">
        <v>48</v>
      </c>
      <c r="D23">
        <f>ROUND(A4*1.44,0)</f>
        <v>281</v>
      </c>
    </row>
    <row r="24" spans="1:4" x14ac:dyDescent="0.4">
      <c r="A24">
        <v>56</v>
      </c>
      <c r="D24" t="s">
        <v>49</v>
      </c>
    </row>
    <row r="25" spans="1:4" x14ac:dyDescent="0.4">
      <c r="A25" t="s">
        <v>50</v>
      </c>
      <c r="D25">
        <f>1.5*A2</f>
        <v>18</v>
      </c>
    </row>
    <row r="26" spans="1:4" x14ac:dyDescent="0.4">
      <c r="A26" s="9">
        <f>自動化シート!H53</f>
        <v>19</v>
      </c>
      <c r="B26" t="s">
        <v>51</v>
      </c>
    </row>
    <row r="27" spans="1:4" x14ac:dyDescent="0.4">
      <c r="A27" t="s">
        <v>52</v>
      </c>
    </row>
    <row r="28" spans="1:4" x14ac:dyDescent="0.4">
      <c r="A28" t="str">
        <f>自動化シート!L3</f>
        <v>M20</v>
      </c>
    </row>
    <row r="29" spans="1:4" x14ac:dyDescent="0.4">
      <c r="A29" t="s">
        <v>53</v>
      </c>
    </row>
    <row r="30" spans="1:4" x14ac:dyDescent="0.4">
      <c r="A30">
        <f>自動化シート!K3</f>
        <v>17.294</v>
      </c>
    </row>
    <row r="31" spans="1:4" x14ac:dyDescent="0.4">
      <c r="A31" t="s">
        <v>54</v>
      </c>
    </row>
    <row r="32" spans="1:4" x14ac:dyDescent="0.4">
      <c r="A32" s="9">
        <f>自動化シート!N3</f>
        <v>37</v>
      </c>
      <c r="B32" t="s">
        <v>55</v>
      </c>
    </row>
    <row r="33" spans="1:2" x14ac:dyDescent="0.4">
      <c r="A33" t="s">
        <v>56</v>
      </c>
    </row>
    <row r="34" spans="1:2" x14ac:dyDescent="0.4">
      <c r="A34" s="9">
        <f>自動化シート!M3</f>
        <v>21</v>
      </c>
      <c r="B34" t="str">
        <f>B32</f>
        <v>止め金具取付ボルトの直径をもとに付表5より選ぶ</v>
      </c>
    </row>
    <row r="35" spans="1:2" x14ac:dyDescent="0.4">
      <c r="A35" t="s">
        <v>57</v>
      </c>
    </row>
    <row r="36" spans="1:2" x14ac:dyDescent="0.4">
      <c r="A36">
        <v>70</v>
      </c>
    </row>
    <row r="37" spans="1:2" x14ac:dyDescent="0.4">
      <c r="A37" t="s">
        <v>16</v>
      </c>
    </row>
    <row r="38" spans="1:2" x14ac:dyDescent="0.4">
      <c r="A38" s="9">
        <f>自動化シート!D5</f>
        <v>12.5</v>
      </c>
      <c r="B38" t="s">
        <v>58</v>
      </c>
    </row>
    <row r="39" spans="1:2" x14ac:dyDescent="0.4">
      <c r="A39" t="s">
        <v>52</v>
      </c>
    </row>
    <row r="40" spans="1:2" x14ac:dyDescent="0.4">
      <c r="A40" s="9">
        <f>自動化シート!O3</f>
        <v>20</v>
      </c>
    </row>
    <row r="41" spans="1:2" x14ac:dyDescent="0.4">
      <c r="A41" t="s">
        <v>48</v>
      </c>
    </row>
    <row r="42" spans="1:2" x14ac:dyDescent="0.4">
      <c r="A42">
        <v>40</v>
      </c>
    </row>
    <row r="43" spans="1:2" x14ac:dyDescent="0.4">
      <c r="A43" t="s">
        <v>47</v>
      </c>
    </row>
    <row r="44" spans="1:2" x14ac:dyDescent="0.4">
      <c r="A44" s="13">
        <v>315</v>
      </c>
      <c r="B44" t="s">
        <v>59</v>
      </c>
    </row>
    <row r="45" spans="1:2" x14ac:dyDescent="0.4">
      <c r="A45" t="s">
        <v>49</v>
      </c>
    </row>
    <row r="46" spans="1:2" x14ac:dyDescent="0.4">
      <c r="A46" s="13">
        <v>45</v>
      </c>
      <c r="B46" t="str">
        <f>B44</f>
        <v>決定値</v>
      </c>
    </row>
    <row r="69" spans="1:1" x14ac:dyDescent="0.4">
      <c r="A69" t="s">
        <v>60</v>
      </c>
    </row>
    <row r="70" spans="1:1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workbookViewId="0">
      <selection activeCell="A31" sqref="A31"/>
    </sheetView>
  </sheetViews>
  <sheetFormatPr defaultRowHeight="18.75" x14ac:dyDescent="0.4"/>
  <cols>
    <col min="2" max="2" width="22.25" customWidth="1"/>
    <col min="3" max="3" width="9.375" bestFit="1" customWidth="1"/>
    <col min="5" max="5" width="9.625" customWidth="1"/>
    <col min="8" max="8" width="10.125" customWidth="1"/>
    <col min="10" max="10" width="10.25" customWidth="1"/>
    <col min="13" max="13" width="11.375" customWidth="1"/>
  </cols>
  <sheetData>
    <row r="1" spans="1:24" x14ac:dyDescent="0.4">
      <c r="A1" t="s">
        <v>61</v>
      </c>
      <c r="C1" t="s">
        <v>62</v>
      </c>
      <c r="D1" t="s">
        <v>63</v>
      </c>
      <c r="H1" t="s">
        <v>64</v>
      </c>
      <c r="I1" t="s">
        <v>65</v>
      </c>
      <c r="P1" t="s">
        <v>66</v>
      </c>
      <c r="Q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 spans="1:24" x14ac:dyDescent="0.4">
      <c r="A2" s="9">
        <v>325</v>
      </c>
      <c r="B2" t="s">
        <v>73</v>
      </c>
      <c r="D2">
        <f>A8/2</f>
        <v>97.5</v>
      </c>
      <c r="I2">
        <f>D8*A14</f>
        <v>45.78</v>
      </c>
      <c r="J2" t="s">
        <v>74</v>
      </c>
      <c r="Q2">
        <f>ROUND(3.05/(3.05+A26),2)</f>
        <v>0.91</v>
      </c>
      <c r="T2">
        <f>ROUND(PI()*A30,2)</f>
        <v>25.13</v>
      </c>
      <c r="U2">
        <f>A14*A30</f>
        <v>112</v>
      </c>
      <c r="V2">
        <f>A16*A30</f>
        <v>368</v>
      </c>
      <c r="W2">
        <f>U2</f>
        <v>112</v>
      </c>
      <c r="X2">
        <f>A18*A30</f>
        <v>504</v>
      </c>
    </row>
    <row r="3" spans="1:24" x14ac:dyDescent="0.4">
      <c r="A3" t="s">
        <v>41</v>
      </c>
      <c r="D3" t="s">
        <v>75</v>
      </c>
      <c r="I3">
        <f>ROUNDUP(I2,0)</f>
        <v>46</v>
      </c>
      <c r="J3" t="s">
        <v>76</v>
      </c>
      <c r="Q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</row>
    <row r="4" spans="1:24" x14ac:dyDescent="0.4">
      <c r="A4" s="9">
        <f>'3章'!D17</f>
        <v>12.25</v>
      </c>
      <c r="B4" t="s">
        <v>83</v>
      </c>
      <c r="D4">
        <f>ROUND((1000*'3章'!D17*D2)/(2*A6*A2*A10),2)</f>
        <v>14.71</v>
      </c>
      <c r="E4" t="s">
        <v>84</v>
      </c>
      <c r="I4" t="s">
        <v>85</v>
      </c>
      <c r="Q4">
        <f>A24*Q2*A28</f>
        <v>67.34</v>
      </c>
      <c r="T4">
        <f>2.25*A30</f>
        <v>18</v>
      </c>
      <c r="U4">
        <f>A30*(A14+2)</f>
        <v>128</v>
      </c>
      <c r="V4">
        <f>A30*(A16+2)</f>
        <v>384</v>
      </c>
      <c r="W4">
        <f>U4</f>
        <v>128</v>
      </c>
      <c r="X4">
        <f>A30*(A18+2)</f>
        <v>520</v>
      </c>
    </row>
    <row r="5" spans="1:24" x14ac:dyDescent="0.4">
      <c r="A5" t="s">
        <v>86</v>
      </c>
      <c r="D5" t="s">
        <v>75</v>
      </c>
      <c r="F5" t="s">
        <v>87</v>
      </c>
      <c r="I5">
        <f>E8*A14</f>
        <v>63</v>
      </c>
      <c r="J5" t="str">
        <f>J2</f>
        <v>計算値</v>
      </c>
      <c r="Q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93</v>
      </c>
    </row>
    <row r="6" spans="1:24" x14ac:dyDescent="0.4">
      <c r="A6" s="9">
        <v>147</v>
      </c>
      <c r="D6">
        <f>D4</f>
        <v>14.71</v>
      </c>
      <c r="E6" t="s">
        <v>94</v>
      </c>
      <c r="F6">
        <f>ROUND(SQRT(D6),2)</f>
        <v>3.84</v>
      </c>
      <c r="I6">
        <f>ROUNDUP(I5,0)</f>
        <v>63</v>
      </c>
      <c r="J6" t="str">
        <f>J3</f>
        <v>切り上げ値</v>
      </c>
      <c r="Q6">
        <f>2*A6*A2</f>
        <v>95550</v>
      </c>
      <c r="T6">
        <f>A30</f>
        <v>8</v>
      </c>
      <c r="U6">
        <f>U4-(T4*2)</f>
        <v>92</v>
      </c>
      <c r="V6">
        <f>V4-(T4*2)</f>
        <v>348</v>
      </c>
      <c r="W6">
        <f>W4-(T4*2)</f>
        <v>92</v>
      </c>
      <c r="X6">
        <f>X4-(T4*2)</f>
        <v>484</v>
      </c>
    </row>
    <row r="7" spans="1:24" x14ac:dyDescent="0.4">
      <c r="A7" t="s">
        <v>11</v>
      </c>
      <c r="D7" t="s">
        <v>95</v>
      </c>
      <c r="E7" t="s">
        <v>96</v>
      </c>
      <c r="Q7" t="s">
        <v>97</v>
      </c>
      <c r="T7" t="s">
        <v>98</v>
      </c>
    </row>
    <row r="8" spans="1:24" x14ac:dyDescent="0.4">
      <c r="A8" s="9">
        <f>'3章'!A4</f>
        <v>195</v>
      </c>
      <c r="D8">
        <f>ROUND(D6/E8,2)</f>
        <v>3.27</v>
      </c>
      <c r="E8">
        <f>A12</f>
        <v>4.5</v>
      </c>
      <c r="I8" s="24" t="s">
        <v>99</v>
      </c>
      <c r="J8" s="24"/>
      <c r="K8" s="24"/>
      <c r="Q8">
        <f>(A16/A14)*Q6</f>
        <v>313950</v>
      </c>
      <c r="T8">
        <f>1.25*A30</f>
        <v>10</v>
      </c>
    </row>
    <row r="9" spans="1:24" ht="19.5" thickBot="1" x14ac:dyDescent="0.45">
      <c r="A9" t="s">
        <v>100</v>
      </c>
      <c r="D9" t="s">
        <v>101</v>
      </c>
      <c r="I9" s="23" t="s">
        <v>102</v>
      </c>
      <c r="J9" s="23" t="s">
        <v>103</v>
      </c>
      <c r="K9" s="23"/>
      <c r="Q9" t="s">
        <v>7</v>
      </c>
      <c r="T9" t="s">
        <v>16</v>
      </c>
    </row>
    <row r="10" spans="1:24" ht="19.5" thickTop="1" x14ac:dyDescent="0.4">
      <c r="A10">
        <v>0.85</v>
      </c>
      <c r="B10" t="s">
        <v>104</v>
      </c>
      <c r="D10">
        <f>D8*E8</f>
        <v>14.715</v>
      </c>
      <c r="I10" s="20">
        <f>I3+1</f>
        <v>47</v>
      </c>
      <c r="J10" s="20">
        <f>I6-1</f>
        <v>62</v>
      </c>
      <c r="K10" s="25" t="s">
        <v>105</v>
      </c>
      <c r="Q10">
        <f>ROUND(((2*Q8)/(A14*A20*PI()*A22*Q4))^(1/3),2)</f>
        <v>6.7</v>
      </c>
      <c r="R10" t="s">
        <v>74</v>
      </c>
      <c r="T10">
        <v>67</v>
      </c>
    </row>
    <row r="11" spans="1:24" ht="19.5" thickBot="1" x14ac:dyDescent="0.45">
      <c r="A11" t="s">
        <v>96</v>
      </c>
      <c r="I11" s="22">
        <f>I3-1</f>
        <v>45</v>
      </c>
      <c r="J11" s="22">
        <f>I6+1</f>
        <v>64</v>
      </c>
      <c r="K11" s="26" t="s">
        <v>106</v>
      </c>
      <c r="Q11" t="s">
        <v>107</v>
      </c>
      <c r="T11" t="s">
        <v>108</v>
      </c>
    </row>
    <row r="12" spans="1:24" ht="19.5" thickTop="1" x14ac:dyDescent="0.4">
      <c r="A12" s="1">
        <v>4.5</v>
      </c>
      <c r="B12" t="s">
        <v>109</v>
      </c>
      <c r="Q12">
        <f>ROUND(Q2*A32*A34*Q14*(2*A18/(A14+A18)),0)</f>
        <v>19640</v>
      </c>
      <c r="T12">
        <f>IF(AND((((W2+X2)/2)-((V4+A8+A36)/2))&lt;=30,((W2+X2)/2)-((V4+A8+A36)/2)&gt;=10),(((W2+X2)/2)-((V4+A8+A36)/2)),"i2の再設定")</f>
        <v>12.5</v>
      </c>
    </row>
    <row r="13" spans="1:24" ht="19.5" thickBot="1" x14ac:dyDescent="0.45">
      <c r="A13" t="s">
        <v>110</v>
      </c>
      <c r="I13" t="s">
        <v>111</v>
      </c>
      <c r="Q13" t="s">
        <v>16</v>
      </c>
    </row>
    <row r="14" spans="1:24" ht="19.5" thickBot="1" x14ac:dyDescent="0.45">
      <c r="A14">
        <v>14</v>
      </c>
      <c r="B14" s="3" t="s">
        <v>112</v>
      </c>
      <c r="C14" s="30" t="s">
        <v>113</v>
      </c>
      <c r="D14" s="31" t="s">
        <v>114</v>
      </c>
      <c r="E14" s="31"/>
      <c r="F14" s="31"/>
      <c r="G14" s="32"/>
      <c r="I14" s="23" t="s">
        <v>115</v>
      </c>
      <c r="J14" s="23" t="s">
        <v>116</v>
      </c>
      <c r="K14" s="23"/>
      <c r="L14" s="23"/>
      <c r="M14" s="40" t="s">
        <v>117</v>
      </c>
      <c r="Q14">
        <f>A20*A30</f>
        <v>64</v>
      </c>
    </row>
    <row r="15" spans="1:24" ht="19.5" thickTop="1" x14ac:dyDescent="0.4">
      <c r="A15" t="s">
        <v>102</v>
      </c>
      <c r="C15" s="33" t="s">
        <v>118</v>
      </c>
      <c r="D15" s="24"/>
      <c r="E15" s="24"/>
      <c r="F15" s="24"/>
      <c r="G15" s="34"/>
      <c r="I15" s="20">
        <f>A14*I3</f>
        <v>644</v>
      </c>
      <c r="J15" s="20">
        <f>I6*A14</f>
        <v>882</v>
      </c>
      <c r="K15" s="27" t="s">
        <v>119</v>
      </c>
      <c r="L15" s="33"/>
      <c r="M15" s="33">
        <f>I15*J15</f>
        <v>568008</v>
      </c>
      <c r="Q15" t="s">
        <v>120</v>
      </c>
      <c r="R15" t="s">
        <v>121</v>
      </c>
    </row>
    <row r="16" spans="1:24" x14ac:dyDescent="0.4">
      <c r="A16" s="9">
        <f>IF(MAX(M15,M16,M17)=M15,I3,IF(MAX(M15,M16,M17)=M16,I10,I11))</f>
        <v>46</v>
      </c>
      <c r="B16" t="s">
        <v>59</v>
      </c>
      <c r="C16" s="35">
        <f>ROUND((((SQRT((G21^2)-((A14*G17)^2)))+(SQRT((G23^2)-((A16*G17)^2)))-(G27*G19))/(2*PI()*G17)),3)</f>
        <v>1.601</v>
      </c>
      <c r="D16" s="24"/>
      <c r="E16" s="24"/>
      <c r="F16" s="24"/>
      <c r="G16" s="34" t="s">
        <v>122</v>
      </c>
      <c r="I16" s="21">
        <f>(A14/2)*I10</f>
        <v>329</v>
      </c>
      <c r="J16" s="21">
        <f>(A14/2)*J10</f>
        <v>434</v>
      </c>
      <c r="K16" s="28" t="str">
        <f>K10</f>
        <v>+-</v>
      </c>
      <c r="L16" s="33"/>
      <c r="M16" s="33">
        <f>I16*J16</f>
        <v>142786</v>
      </c>
      <c r="Q16">
        <f>ROUND((2*Q8)/(A30*A14),0)</f>
        <v>5606</v>
      </c>
      <c r="R16">
        <f>Q12-Q16</f>
        <v>14034</v>
      </c>
    </row>
    <row r="17" spans="1:13" ht="19.5" thickBot="1" x14ac:dyDescent="0.45">
      <c r="A17" t="s">
        <v>103</v>
      </c>
      <c r="C17" s="33" t="s">
        <v>123</v>
      </c>
      <c r="D17" s="24"/>
      <c r="E17" s="24"/>
      <c r="F17" s="24"/>
      <c r="G17" s="34">
        <f>COS(A39)</f>
        <v>0.93969262078590843</v>
      </c>
      <c r="I17" s="22">
        <f>(A14/2)*I11</f>
        <v>315</v>
      </c>
      <c r="J17" s="22">
        <f>(A14/2)*J11</f>
        <v>448</v>
      </c>
      <c r="K17" s="29" t="str">
        <f>K11</f>
        <v>-+</v>
      </c>
      <c r="L17" s="40"/>
      <c r="M17" s="40">
        <f>I17*J17</f>
        <v>141120</v>
      </c>
    </row>
    <row r="18" spans="1:13" ht="19.5" thickTop="1" x14ac:dyDescent="0.4">
      <c r="A18" s="9">
        <f>IF(MAX(M15,M16,M17)=M15,I6,IF(MAX(M15,M16,M17)=M16,J10,J11))</f>
        <v>63</v>
      </c>
      <c r="B18" t="s">
        <v>59</v>
      </c>
      <c r="C18" s="35">
        <f>ROUND((((SQRT((G21^2)-((A14*G17)^2)))+(SQRT((G25^2)-((A18*G17)^2)))-(G29*G19))/(2*PI()*G17)),3)</f>
        <v>1.627</v>
      </c>
      <c r="D18" s="24"/>
      <c r="E18" s="24"/>
      <c r="F18" s="24"/>
      <c r="G18" s="34" t="s">
        <v>124</v>
      </c>
      <c r="M18" t="s">
        <v>125</v>
      </c>
    </row>
    <row r="19" spans="1:13" x14ac:dyDescent="0.4">
      <c r="A19" t="s">
        <v>126</v>
      </c>
      <c r="C19" s="33"/>
      <c r="D19" s="24"/>
      <c r="E19" s="24"/>
      <c r="F19" s="24"/>
      <c r="G19" s="34">
        <f>SIN(A39)</f>
        <v>0.34202014332566871</v>
      </c>
      <c r="I19" t="s">
        <v>75</v>
      </c>
    </row>
    <row r="20" spans="1:13" x14ac:dyDescent="0.4">
      <c r="A20">
        <v>8</v>
      </c>
      <c r="B20" t="s">
        <v>127</v>
      </c>
      <c r="C20" s="33" t="s">
        <v>128</v>
      </c>
      <c r="D20" s="24"/>
      <c r="E20" s="24"/>
      <c r="F20" s="24"/>
      <c r="G20" s="34" t="s">
        <v>129</v>
      </c>
      <c r="I20">
        <f>ROUND((A16/A14)*(A18/A14),2)</f>
        <v>14.79</v>
      </c>
      <c r="J20" t="s">
        <v>59</v>
      </c>
    </row>
    <row r="21" spans="1:13" x14ac:dyDescent="0.4">
      <c r="A21" t="s">
        <v>130</v>
      </c>
      <c r="C21" s="33" t="s">
        <v>131</v>
      </c>
      <c r="D21" s="24"/>
      <c r="E21" s="24"/>
      <c r="F21" s="24"/>
      <c r="G21" s="34">
        <f>A14+2</f>
        <v>16</v>
      </c>
      <c r="I21" t="s">
        <v>75</v>
      </c>
    </row>
    <row r="22" spans="1:13" x14ac:dyDescent="0.4">
      <c r="A22">
        <v>8.7999999999999995E-2</v>
      </c>
      <c r="B22" t="s">
        <v>132</v>
      </c>
      <c r="C22" s="33"/>
      <c r="D22" s="24"/>
      <c r="E22" s="24"/>
      <c r="F22" s="24"/>
      <c r="G22" s="34" t="s">
        <v>133</v>
      </c>
      <c r="I22">
        <f>D6</f>
        <v>14.71</v>
      </c>
      <c r="J22" t="str">
        <f>E6</f>
        <v>計画値</v>
      </c>
    </row>
    <row r="23" spans="1:13" x14ac:dyDescent="0.4">
      <c r="A23" t="s">
        <v>134</v>
      </c>
      <c r="C23" s="33"/>
      <c r="D23" s="24"/>
      <c r="E23" s="24"/>
      <c r="F23" s="24"/>
      <c r="G23" s="34">
        <f>A16+2</f>
        <v>48</v>
      </c>
    </row>
    <row r="24" spans="1:13" x14ac:dyDescent="0.4">
      <c r="A24">
        <v>100</v>
      </c>
      <c r="B24" t="s">
        <v>135</v>
      </c>
      <c r="C24" s="33"/>
      <c r="D24" s="24"/>
      <c r="E24" s="24"/>
      <c r="F24" s="24"/>
      <c r="G24" s="34" t="s">
        <v>136</v>
      </c>
      <c r="K24" s="24"/>
    </row>
    <row r="25" spans="1:13" x14ac:dyDescent="0.4">
      <c r="A25" t="s">
        <v>137</v>
      </c>
      <c r="C25" s="33"/>
      <c r="D25" s="24"/>
      <c r="E25" s="24"/>
      <c r="F25" s="24"/>
      <c r="G25" s="34">
        <f>A18+2</f>
        <v>65</v>
      </c>
      <c r="K25" s="24"/>
    </row>
    <row r="26" spans="1:13" x14ac:dyDescent="0.4">
      <c r="A26">
        <v>0.3</v>
      </c>
      <c r="B26" t="s">
        <v>138</v>
      </c>
      <c r="C26" s="33"/>
      <c r="D26" s="24"/>
      <c r="E26" s="24"/>
      <c r="F26" s="24"/>
      <c r="G26" s="34" t="s">
        <v>139</v>
      </c>
      <c r="K26" s="24"/>
    </row>
    <row r="27" spans="1:13" x14ac:dyDescent="0.4">
      <c r="A27" t="s">
        <v>140</v>
      </c>
      <c r="C27" s="33"/>
      <c r="D27" s="24"/>
      <c r="E27" s="24"/>
      <c r="F27" s="24"/>
      <c r="G27" s="34">
        <f>A14+A16</f>
        <v>60</v>
      </c>
      <c r="K27" s="24"/>
    </row>
    <row r="28" spans="1:13" x14ac:dyDescent="0.4">
      <c r="A28">
        <v>0.74</v>
      </c>
      <c r="B28" t="s">
        <v>141</v>
      </c>
      <c r="C28" s="33"/>
      <c r="D28" s="24"/>
      <c r="E28" s="24"/>
      <c r="F28" s="24"/>
      <c r="G28" s="34" t="s">
        <v>142</v>
      </c>
      <c r="K28" s="24"/>
    </row>
    <row r="29" spans="1:13" ht="19.5" thickBot="1" x14ac:dyDescent="0.45">
      <c r="A29" t="s">
        <v>7</v>
      </c>
      <c r="C29" s="36"/>
      <c r="D29" s="37"/>
      <c r="E29" s="37"/>
      <c r="F29" s="37"/>
      <c r="G29" s="38">
        <f>A14+A18</f>
        <v>77</v>
      </c>
      <c r="K29" s="24"/>
    </row>
    <row r="30" spans="1:13" x14ac:dyDescent="0.4">
      <c r="A30">
        <f>自動化シート!AF117</f>
        <v>8</v>
      </c>
      <c r="B30" t="s">
        <v>143</v>
      </c>
      <c r="K30" s="24"/>
    </row>
    <row r="31" spans="1:13" x14ac:dyDescent="0.4">
      <c r="A31" t="s">
        <v>144</v>
      </c>
    </row>
    <row r="32" spans="1:13" x14ac:dyDescent="0.4">
      <c r="A32">
        <v>1.84</v>
      </c>
    </row>
    <row r="33" spans="1:2" x14ac:dyDescent="0.4">
      <c r="A33" t="s">
        <v>145</v>
      </c>
    </row>
    <row r="34" spans="1:2" x14ac:dyDescent="0.4">
      <c r="A34">
        <f>W2</f>
        <v>112</v>
      </c>
    </row>
    <row r="35" spans="1:2" x14ac:dyDescent="0.4">
      <c r="A35" t="s">
        <v>6</v>
      </c>
    </row>
    <row r="36" spans="1:2" x14ac:dyDescent="0.4">
      <c r="A36" s="9">
        <f>'3章'!A2</f>
        <v>12</v>
      </c>
      <c r="B36" t="s">
        <v>146</v>
      </c>
    </row>
    <row r="37" spans="1:2" x14ac:dyDescent="0.4">
      <c r="A37" t="s">
        <v>147</v>
      </c>
    </row>
    <row r="38" spans="1:2" x14ac:dyDescent="0.4">
      <c r="A38">
        <v>20</v>
      </c>
      <c r="B38" t="s">
        <v>148</v>
      </c>
    </row>
    <row r="39" spans="1:2" x14ac:dyDescent="0.4">
      <c r="A39">
        <f>RADIANS(A38)</f>
        <v>0.3490658503988659</v>
      </c>
      <c r="B39" t="s">
        <v>149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>
      <selection activeCell="E38" sqref="E38"/>
    </sheetView>
  </sheetViews>
  <sheetFormatPr defaultRowHeight="18.75" x14ac:dyDescent="0.4"/>
  <cols>
    <col min="2" max="2" width="15.25" customWidth="1"/>
    <col min="6" max="6" width="31.25" customWidth="1"/>
    <col min="10" max="10" width="23.5" customWidth="1"/>
  </cols>
  <sheetData>
    <row r="1" spans="1:12" x14ac:dyDescent="0.4">
      <c r="A1" t="s">
        <v>41</v>
      </c>
      <c r="C1" t="s">
        <v>150</v>
      </c>
      <c r="D1" t="s">
        <v>151</v>
      </c>
      <c r="E1" t="s">
        <v>152</v>
      </c>
      <c r="G1" t="s">
        <v>153</v>
      </c>
      <c r="H1" t="str">
        <f>D1</f>
        <v>(a)</v>
      </c>
      <c r="I1" t="s">
        <v>41</v>
      </c>
      <c r="K1" t="s">
        <v>154</v>
      </c>
      <c r="L1" t="s">
        <v>54</v>
      </c>
    </row>
    <row r="2" spans="1:12" x14ac:dyDescent="0.4">
      <c r="A2" s="9">
        <f>'3章'!D17</f>
        <v>12.25</v>
      </c>
      <c r="B2" t="s">
        <v>83</v>
      </c>
      <c r="E2">
        <f>ROUND((((6*PI()*A2*1000*A4*A12)/(A14*A14*A8*A10))^(1/3)),2)</f>
        <v>34.090000000000003</v>
      </c>
      <c r="I2">
        <f>ROUND(A2*1000*A4/E8,0)</f>
        <v>11059</v>
      </c>
      <c r="J2" t="s">
        <v>155</v>
      </c>
      <c r="L2">
        <f>0.25*A26</f>
        <v>7.5</v>
      </c>
    </row>
    <row r="3" spans="1:12" x14ac:dyDescent="0.4">
      <c r="A3" t="s">
        <v>11</v>
      </c>
      <c r="E3">
        <f>ROUND(E2,0)</f>
        <v>34</v>
      </c>
      <c r="F3" t="s">
        <v>156</v>
      </c>
      <c r="I3" t="s">
        <v>157</v>
      </c>
    </row>
    <row r="4" spans="1:12" x14ac:dyDescent="0.4">
      <c r="A4" s="9">
        <f>'3章'!A4</f>
        <v>195</v>
      </c>
      <c r="B4" t="s">
        <v>158</v>
      </c>
      <c r="E4" t="s">
        <v>7</v>
      </c>
      <c r="I4">
        <f>E14+2</f>
        <v>36</v>
      </c>
    </row>
    <row r="5" spans="1:12" x14ac:dyDescent="0.4">
      <c r="A5" t="s">
        <v>159</v>
      </c>
      <c r="E5">
        <f>ROUND(E3/PI(),2)</f>
        <v>10.82</v>
      </c>
      <c r="F5" t="s">
        <v>74</v>
      </c>
      <c r="I5" t="s">
        <v>17</v>
      </c>
    </row>
    <row r="6" spans="1:12" x14ac:dyDescent="0.4">
      <c r="A6">
        <v>1</v>
      </c>
      <c r="B6" t="s">
        <v>160</v>
      </c>
      <c r="E6">
        <f>ROUNDUP(E5,0)</f>
        <v>11</v>
      </c>
      <c r="F6" t="s">
        <v>161</v>
      </c>
      <c r="I6">
        <f>ROUNDUP((((32*I2*I4)/(2*PI()*A24))^(1/3)),2)</f>
        <v>27.270000000000003</v>
      </c>
      <c r="J6" t="str">
        <f>J8</f>
        <v>計算値</v>
      </c>
    </row>
    <row r="7" spans="1:12" x14ac:dyDescent="0.4">
      <c r="A7" t="s">
        <v>77</v>
      </c>
      <c r="E7" t="s">
        <v>162</v>
      </c>
      <c r="I7" t="s">
        <v>163</v>
      </c>
    </row>
    <row r="8" spans="1:12" x14ac:dyDescent="0.4">
      <c r="A8">
        <v>29</v>
      </c>
      <c r="B8" t="s">
        <v>164</v>
      </c>
      <c r="E8">
        <f>ROUND(A10*E3/PI(),0)</f>
        <v>216</v>
      </c>
      <c r="F8" t="s">
        <v>165</v>
      </c>
      <c r="I8">
        <f>ROUND(SQRT((4*I2)/(PI()*A28)),2)</f>
        <v>13.27</v>
      </c>
      <c r="J8" t="s">
        <v>74</v>
      </c>
    </row>
    <row r="9" spans="1:12" x14ac:dyDescent="0.4">
      <c r="A9" t="s">
        <v>166</v>
      </c>
      <c r="E9" t="s">
        <v>78</v>
      </c>
      <c r="H9" t="str">
        <f>D15</f>
        <v>(b)</v>
      </c>
      <c r="I9" t="s">
        <v>167</v>
      </c>
    </row>
    <row r="10" spans="1:12" x14ac:dyDescent="0.4">
      <c r="A10">
        <v>20</v>
      </c>
      <c r="B10" t="s">
        <v>168</v>
      </c>
      <c r="E10">
        <f>A12*E3</f>
        <v>8.5</v>
      </c>
      <c r="I10">
        <f>2*A26</f>
        <v>60</v>
      </c>
    </row>
    <row r="11" spans="1:12" x14ac:dyDescent="0.4">
      <c r="A11" t="s">
        <v>78</v>
      </c>
      <c r="E11" t="s">
        <v>169</v>
      </c>
      <c r="I11" t="s">
        <v>170</v>
      </c>
    </row>
    <row r="12" spans="1:12" x14ac:dyDescent="0.4">
      <c r="A12">
        <v>0.25</v>
      </c>
      <c r="B12" t="s">
        <v>171</v>
      </c>
      <c r="E12">
        <f>A14*E3</f>
        <v>23.799999999999997</v>
      </c>
      <c r="I12">
        <f>0.5*E14</f>
        <v>17</v>
      </c>
    </row>
    <row r="13" spans="1:12" x14ac:dyDescent="0.4">
      <c r="A13" t="s">
        <v>169</v>
      </c>
      <c r="E13" t="s">
        <v>16</v>
      </c>
      <c r="I13" t="s">
        <v>9</v>
      </c>
    </row>
    <row r="14" spans="1:12" x14ac:dyDescent="0.4">
      <c r="A14">
        <v>0.7</v>
      </c>
      <c r="B14" t="s">
        <v>171</v>
      </c>
      <c r="E14">
        <f>A6*E3</f>
        <v>34</v>
      </c>
      <c r="F14" t="s">
        <v>172</v>
      </c>
      <c r="I14">
        <f>E14*I12</f>
        <v>578</v>
      </c>
    </row>
    <row r="15" spans="1:12" x14ac:dyDescent="0.4">
      <c r="A15" t="s">
        <v>49</v>
      </c>
      <c r="D15" t="s">
        <v>173</v>
      </c>
      <c r="E15" t="s">
        <v>174</v>
      </c>
      <c r="I15" t="s">
        <v>175</v>
      </c>
    </row>
    <row r="16" spans="1:12" x14ac:dyDescent="0.4">
      <c r="A16" s="9">
        <f>'3章'!A46</f>
        <v>45</v>
      </c>
      <c r="B16" t="s">
        <v>176</v>
      </c>
      <c r="E16">
        <f>ROUNDUP(0.75*E3,0)</f>
        <v>26</v>
      </c>
      <c r="F16" t="s">
        <v>177</v>
      </c>
      <c r="I16">
        <f>ROUND(E14*(I12^3)/12,0)</f>
        <v>13920</v>
      </c>
    </row>
    <row r="17" spans="1:10" x14ac:dyDescent="0.4">
      <c r="A17" t="s">
        <v>7</v>
      </c>
      <c r="D17" t="s">
        <v>178</v>
      </c>
      <c r="E17" t="s">
        <v>179</v>
      </c>
      <c r="I17" t="s">
        <v>144</v>
      </c>
    </row>
    <row r="18" spans="1:10" ht="37.5" x14ac:dyDescent="0.4">
      <c r="A18" s="9">
        <f>自動化シート!AB117</f>
        <v>11</v>
      </c>
      <c r="B18" t="s">
        <v>180</v>
      </c>
      <c r="E18">
        <f>ROUND(E16/A16,2)</f>
        <v>0.57999999999999996</v>
      </c>
      <c r="F18" s="113" t="s">
        <v>181</v>
      </c>
      <c r="I18">
        <f>ROUND(SQRT(I16/I14),2)</f>
        <v>4.91</v>
      </c>
    </row>
    <row r="19" spans="1:10" x14ac:dyDescent="0.4">
      <c r="A19" t="s">
        <v>182</v>
      </c>
      <c r="E19" t="s">
        <v>63</v>
      </c>
      <c r="I19" t="s">
        <v>183</v>
      </c>
      <c r="J19" t="s">
        <v>184</v>
      </c>
    </row>
    <row r="20" spans="1:10" x14ac:dyDescent="0.4">
      <c r="A20">
        <v>0.2</v>
      </c>
      <c r="B20" t="s">
        <v>185</v>
      </c>
      <c r="E20">
        <f>IF(E18&lt;=1.5,ROUND(E16/3,2),ROUND(E16/2,2))</f>
        <v>8.67</v>
      </c>
      <c r="F20" t="s">
        <v>186</v>
      </c>
      <c r="I20">
        <f>ROUND(A32/I18,2)</f>
        <v>24.44</v>
      </c>
      <c r="J20" s="10">
        <f>90*SQRT(A34)</f>
        <v>45</v>
      </c>
    </row>
    <row r="21" spans="1:10" x14ac:dyDescent="0.4">
      <c r="A21" t="s">
        <v>16</v>
      </c>
      <c r="E21" t="s">
        <v>187</v>
      </c>
      <c r="F21" t="s">
        <v>188</v>
      </c>
      <c r="J21" t="s">
        <v>189</v>
      </c>
    </row>
    <row r="22" spans="1:10" x14ac:dyDescent="0.4">
      <c r="A22" s="9">
        <f>E22</f>
        <v>43</v>
      </c>
      <c r="B22" t="s">
        <v>190</v>
      </c>
      <c r="E22">
        <f>ROUND(E14+E20,0)</f>
        <v>43</v>
      </c>
      <c r="F22" t="str">
        <f>F20</f>
        <v>T/tの条件分岐自動化済</v>
      </c>
      <c r="I22" t="s">
        <v>191</v>
      </c>
    </row>
    <row r="23" spans="1:10" x14ac:dyDescent="0.4">
      <c r="A23" t="s">
        <v>77</v>
      </c>
      <c r="D23" t="s">
        <v>192</v>
      </c>
      <c r="E23" t="s">
        <v>193</v>
      </c>
      <c r="I23">
        <f>ROUND(A36/(1+(A38/A34)*(I20^2)),2)</f>
        <v>250.27</v>
      </c>
    </row>
    <row r="24" spans="1:10" x14ac:dyDescent="0.4">
      <c r="A24">
        <v>100</v>
      </c>
      <c r="E24">
        <f>ROUND(DEGREES(ATAN(A20)),2)</f>
        <v>11.31</v>
      </c>
      <c r="F24" t="s">
        <v>194</v>
      </c>
      <c r="I24" t="s">
        <v>195</v>
      </c>
    </row>
    <row r="25" spans="1:10" x14ac:dyDescent="0.4">
      <c r="A25" t="s">
        <v>17</v>
      </c>
      <c r="E25">
        <f>ROUNDUP(E24,0)</f>
        <v>12</v>
      </c>
      <c r="F25" t="s">
        <v>196</v>
      </c>
      <c r="I25">
        <f>ROUND(I23*I14/A40,0)</f>
        <v>28931</v>
      </c>
      <c r="J25" t="s">
        <v>197</v>
      </c>
    </row>
    <row r="26" spans="1:10" x14ac:dyDescent="0.4">
      <c r="A26" s="9">
        <v>30</v>
      </c>
      <c r="B26" t="s">
        <v>198</v>
      </c>
      <c r="I26" t="s">
        <v>199</v>
      </c>
    </row>
    <row r="27" spans="1:10" x14ac:dyDescent="0.4">
      <c r="A27" t="s">
        <v>48</v>
      </c>
      <c r="I27">
        <f>I25-I2</f>
        <v>17872</v>
      </c>
      <c r="J27" t="s">
        <v>200</v>
      </c>
    </row>
    <row r="28" spans="1:10" x14ac:dyDescent="0.4">
      <c r="A28">
        <v>80</v>
      </c>
    </row>
    <row r="29" spans="1:10" x14ac:dyDescent="0.4">
      <c r="A29" t="s">
        <v>108</v>
      </c>
    </row>
    <row r="30" spans="1:10" x14ac:dyDescent="0.4">
      <c r="A30" s="13">
        <v>30</v>
      </c>
      <c r="B30" t="s">
        <v>201</v>
      </c>
    </row>
    <row r="31" spans="1:10" x14ac:dyDescent="0.4">
      <c r="A31" s="11" t="s">
        <v>22</v>
      </c>
      <c r="E31" t="s">
        <v>163</v>
      </c>
    </row>
    <row r="32" spans="1:10" x14ac:dyDescent="0.4">
      <c r="A32">
        <v>120</v>
      </c>
      <c r="E32">
        <f>ROUND(A26*(2/3),0)</f>
        <v>20</v>
      </c>
      <c r="F32" t="s">
        <v>202</v>
      </c>
    </row>
    <row r="33" spans="1:6" x14ac:dyDescent="0.4">
      <c r="A33" t="s">
        <v>21</v>
      </c>
      <c r="E33" t="s">
        <v>162</v>
      </c>
    </row>
    <row r="34" spans="1:6" x14ac:dyDescent="0.4">
      <c r="A34">
        <f>1/4</f>
        <v>0.25</v>
      </c>
      <c r="B34" t="s">
        <v>203</v>
      </c>
      <c r="E34">
        <f>A10*A18</f>
        <v>220</v>
      </c>
      <c r="F34" t="s">
        <v>59</v>
      </c>
    </row>
    <row r="35" spans="1:6" x14ac:dyDescent="0.4">
      <c r="A35" t="s">
        <v>204</v>
      </c>
      <c r="E35" t="s">
        <v>152</v>
      </c>
    </row>
    <row r="36" spans="1:6" x14ac:dyDescent="0.4">
      <c r="A36">
        <v>330</v>
      </c>
      <c r="E36">
        <f>ROUND(PI()*A18,2)</f>
        <v>34.56</v>
      </c>
      <c r="F36" t="str">
        <f>F34</f>
        <v>決定値</v>
      </c>
    </row>
    <row r="37" spans="1:6" x14ac:dyDescent="0.4">
      <c r="A37" t="s">
        <v>205</v>
      </c>
    </row>
    <row r="38" spans="1:6" x14ac:dyDescent="0.4">
      <c r="A38">
        <f>1/7500</f>
        <v>1.3333333333333334E-4</v>
      </c>
    </row>
    <row r="39" spans="1:6" x14ac:dyDescent="0.4">
      <c r="A39" t="s">
        <v>8</v>
      </c>
    </row>
    <row r="40" spans="1:6" x14ac:dyDescent="0.4">
      <c r="A40">
        <v>5</v>
      </c>
      <c r="B40" t="s">
        <v>206</v>
      </c>
    </row>
    <row r="41" spans="1:6" x14ac:dyDescent="0.4">
      <c r="A41" t="s">
        <v>54</v>
      </c>
    </row>
    <row r="42" spans="1:6" x14ac:dyDescent="0.4">
      <c r="A42" s="9">
        <f>自動化シート!Q35</f>
        <v>7.5</v>
      </c>
      <c r="B42" t="s">
        <v>207</v>
      </c>
    </row>
    <row r="43" spans="1:6" x14ac:dyDescent="0.4">
      <c r="A43" t="s">
        <v>208</v>
      </c>
    </row>
    <row r="44" spans="1:6" x14ac:dyDescent="0.4">
      <c r="A44" s="9">
        <f>自動化シート!R35</f>
        <v>8</v>
      </c>
      <c r="B44" t="s">
        <v>207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0"/>
  <sheetViews>
    <sheetView zoomScaleNormal="100" workbookViewId="0">
      <selection activeCell="B25" sqref="B25"/>
    </sheetView>
  </sheetViews>
  <sheetFormatPr defaultRowHeight="18.75" x14ac:dyDescent="0.4"/>
  <cols>
    <col min="1" max="1" width="9.125" customWidth="1"/>
    <col min="2" max="2" width="44.5" customWidth="1"/>
    <col min="4" max="4" width="10" customWidth="1"/>
    <col min="10" max="10" width="9.375" customWidth="1"/>
    <col min="11" max="11" width="24.625" customWidth="1"/>
    <col min="18" max="18" width="29.25" customWidth="1"/>
  </cols>
  <sheetData>
    <row r="1" spans="1:18" x14ac:dyDescent="0.4">
      <c r="A1" t="s">
        <v>47</v>
      </c>
      <c r="C1" t="s">
        <v>209</v>
      </c>
      <c r="D1" t="s">
        <v>210</v>
      </c>
      <c r="I1" t="s">
        <v>211</v>
      </c>
      <c r="J1" t="s">
        <v>17</v>
      </c>
      <c r="L1" t="s">
        <v>212</v>
      </c>
      <c r="M1" t="s">
        <v>17</v>
      </c>
      <c r="P1" t="s">
        <v>213</v>
      </c>
      <c r="Q1" t="s">
        <v>56</v>
      </c>
    </row>
    <row r="2" spans="1:18" x14ac:dyDescent="0.4">
      <c r="A2" s="9">
        <f>'3章'!A44</f>
        <v>315</v>
      </c>
      <c r="D2">
        <f>A2*1.2</f>
        <v>378</v>
      </c>
      <c r="J2">
        <f>ROUND(SQRT((2*D8*1000)/(A70*A20)),2)</f>
        <v>4.07</v>
      </c>
      <c r="M2">
        <f>ROUND(SQRT(50*A36)-4,2)</f>
        <v>10.14</v>
      </c>
      <c r="N2" t="s">
        <v>214</v>
      </c>
      <c r="Q2">
        <f>1.8*A22</f>
        <v>9</v>
      </c>
      <c r="R2" t="s">
        <v>215</v>
      </c>
    </row>
    <row r="3" spans="1:18" x14ac:dyDescent="0.4">
      <c r="A3" t="s">
        <v>11</v>
      </c>
      <c r="D3" t="s">
        <v>216</v>
      </c>
      <c r="J3" s="2" t="s">
        <v>22</v>
      </c>
      <c r="M3" s="2" t="s">
        <v>22</v>
      </c>
      <c r="Q3">
        <f>2*A22</f>
        <v>10</v>
      </c>
      <c r="R3" t="s">
        <v>217</v>
      </c>
    </row>
    <row r="4" spans="1:18" x14ac:dyDescent="0.4">
      <c r="A4" s="9">
        <f>'3章'!A4</f>
        <v>195</v>
      </c>
      <c r="D4">
        <f>ROUND(A14*(A4/A6),2)</f>
        <v>5.97</v>
      </c>
      <c r="J4">
        <f>ROUND((D8*1000*A26)/A24,2)</f>
        <v>298.72000000000003</v>
      </c>
      <c r="K4" t="s">
        <v>74</v>
      </c>
      <c r="M4">
        <f>A36*3+1.3*A34</f>
        <v>25</v>
      </c>
      <c r="N4" t="str">
        <f>N2</f>
        <v>計算値</v>
      </c>
      <c r="O4" t="s">
        <v>218</v>
      </c>
      <c r="Q4" t="s">
        <v>219</v>
      </c>
    </row>
    <row r="5" spans="1:18" x14ac:dyDescent="0.4">
      <c r="A5" s="4" t="s">
        <v>220</v>
      </c>
      <c r="D5" t="s">
        <v>221</v>
      </c>
      <c r="J5" s="2" t="s">
        <v>22</v>
      </c>
      <c r="M5">
        <f>A36*3+1.6*A34</f>
        <v>28</v>
      </c>
      <c r="N5" t="str">
        <f>N4</f>
        <v>計算値</v>
      </c>
      <c r="O5" t="s">
        <v>222</v>
      </c>
      <c r="Q5">
        <f>ROUND(SQRT((4*D8*1000)/(A70*A50)),2)</f>
        <v>4.9800000000000004</v>
      </c>
      <c r="R5" t="s">
        <v>223</v>
      </c>
    </row>
    <row r="6" spans="1:18" x14ac:dyDescent="0.4">
      <c r="A6" s="9">
        <f>自動化シート!AG98</f>
        <v>400</v>
      </c>
      <c r="D6">
        <f>ROUND((A12/(A12-1))*D4,2)</f>
        <v>7.14</v>
      </c>
      <c r="J6">
        <f>ROUND(J4*1.25,0)</f>
        <v>373</v>
      </c>
      <c r="K6" t="s">
        <v>224</v>
      </c>
      <c r="M6" t="s">
        <v>15</v>
      </c>
      <c r="P6" t="s">
        <v>225</v>
      </c>
      <c r="Q6" t="s">
        <v>169</v>
      </c>
    </row>
    <row r="7" spans="1:18" x14ac:dyDescent="0.4">
      <c r="A7" t="s">
        <v>182</v>
      </c>
      <c r="D7" t="s">
        <v>226</v>
      </c>
      <c r="J7" t="s">
        <v>227</v>
      </c>
      <c r="M7">
        <f>4.5*A34</f>
        <v>45</v>
      </c>
      <c r="P7">
        <f>A52</f>
        <v>10</v>
      </c>
      <c r="Q7">
        <f>ROUND((D8*1000)/((A46-A22)*A50),2)</f>
        <v>3.9</v>
      </c>
      <c r="R7" t="str">
        <f>N5</f>
        <v>計算値</v>
      </c>
    </row>
    <row r="8" spans="1:18" x14ac:dyDescent="0.4">
      <c r="A8">
        <v>0.43</v>
      </c>
      <c r="D8">
        <f>ROUND((1/(A12-1))*D4,3)</f>
        <v>1.171</v>
      </c>
      <c r="J8">
        <f>A24*A28</f>
        <v>73108</v>
      </c>
      <c r="M8" t="s">
        <v>100</v>
      </c>
      <c r="Q8" t="s">
        <v>228</v>
      </c>
    </row>
    <row r="9" spans="1:18" x14ac:dyDescent="0.4">
      <c r="A9" t="s">
        <v>229</v>
      </c>
      <c r="D9" s="4" t="s">
        <v>230</v>
      </c>
      <c r="E9" t="s">
        <v>231</v>
      </c>
      <c r="J9" t="s">
        <v>170</v>
      </c>
      <c r="M9">
        <f>ROUND((M7-A42)/M7,3)</f>
        <v>0.75600000000000001</v>
      </c>
      <c r="Q9" t="s">
        <v>21</v>
      </c>
    </row>
    <row r="10" spans="1:18" x14ac:dyDescent="0.4">
      <c r="A10">
        <v>240</v>
      </c>
      <c r="D10">
        <f>ROUND((D6*1000)/(0.5*A6*A16),5)</f>
        <v>0.44624999999999998</v>
      </c>
      <c r="E10">
        <f>IF(ROUND(D10*100,2)&lt;=1080,ROUND(D10*100,2),"b1の再設定")</f>
        <v>44.63</v>
      </c>
      <c r="J10">
        <f>ROUND((6*J8*A30)/((A30^3-J2^3)*A32),2)</f>
        <v>4.57</v>
      </c>
      <c r="K10" t="s">
        <v>74</v>
      </c>
      <c r="M10" t="s">
        <v>57</v>
      </c>
      <c r="Q10">
        <f>ROUND((4*D8*1000)/(A70*((A52*A52)-(A54*A54))*A56),2)</f>
        <v>3.33</v>
      </c>
    </row>
    <row r="11" spans="1:18" x14ac:dyDescent="0.4">
      <c r="A11" t="s">
        <v>232</v>
      </c>
      <c r="B11" t="s">
        <v>233</v>
      </c>
      <c r="D11" t="s">
        <v>234</v>
      </c>
      <c r="J11">
        <f>'例題7.5'!A32*2</f>
        <v>20</v>
      </c>
      <c r="K11" t="s">
        <v>59</v>
      </c>
      <c r="M11">
        <f>ROUND(270/A44,2)</f>
        <v>54</v>
      </c>
      <c r="Q11">
        <f>ROUNDUP(Q10,0)</f>
        <v>4</v>
      </c>
      <c r="R11" t="s">
        <v>235</v>
      </c>
    </row>
    <row r="12" spans="1:18" x14ac:dyDescent="0.4">
      <c r="A12" s="9">
        <f>ROUND(EXP(A8*RADIANS(A10)),1)</f>
        <v>6.1</v>
      </c>
      <c r="D12">
        <f>ROUND((D8*1000)/(0.5*A6*A16),5)</f>
        <v>7.3190000000000005E-2</v>
      </c>
      <c r="E12">
        <f>IF(ROUND(D12*100,2)&lt;=1080,ROUND(D12*100,2),"b1の再設定")</f>
        <v>7.32</v>
      </c>
      <c r="J12" t="s">
        <v>236</v>
      </c>
      <c r="M12" t="s">
        <v>16</v>
      </c>
      <c r="Q12" t="s">
        <v>237</v>
      </c>
    </row>
    <row r="13" spans="1:18" x14ac:dyDescent="0.4">
      <c r="A13" t="s">
        <v>238</v>
      </c>
      <c r="D13" t="s">
        <v>239</v>
      </c>
      <c r="M13">
        <f>ROUND((D6*1000)/(J10*M11*M9),2)</f>
        <v>38.270000000000003</v>
      </c>
      <c r="N13" t="str">
        <f>N5</f>
        <v>計算値</v>
      </c>
      <c r="O13" s="113"/>
      <c r="Q13">
        <f>Q11*A58</f>
        <v>6</v>
      </c>
      <c r="R13" t="s">
        <v>74</v>
      </c>
    </row>
    <row r="14" spans="1:18" x14ac:dyDescent="0.4">
      <c r="A14" s="9">
        <f>'6章'!A2</f>
        <v>12.25</v>
      </c>
      <c r="B14" t="s">
        <v>42</v>
      </c>
      <c r="D14">
        <f>IF(ROUND(0.5*(E10+E12),2)&lt;=1080,ROUND(0.5*(E10+E12),2),"b1の再設定")</f>
        <v>25.98</v>
      </c>
      <c r="E14" t="str">
        <f>E9</f>
        <v>N/cm^2</v>
      </c>
      <c r="M14" t="s">
        <v>240</v>
      </c>
      <c r="Q14" t="s">
        <v>16</v>
      </c>
    </row>
    <row r="15" spans="1:18" x14ac:dyDescent="0.4">
      <c r="A15" t="s">
        <v>170</v>
      </c>
      <c r="B15" t="s">
        <v>241</v>
      </c>
      <c r="M15">
        <f>2.5*A34</f>
        <v>25</v>
      </c>
      <c r="Q15">
        <f>2*A52</f>
        <v>20</v>
      </c>
    </row>
    <row r="16" spans="1:18" x14ac:dyDescent="0.4">
      <c r="A16" s="9">
        <f>自動化シート!AI98</f>
        <v>80</v>
      </c>
      <c r="B16" t="s">
        <v>242</v>
      </c>
      <c r="M16" t="s">
        <v>243</v>
      </c>
      <c r="Q16" t="s">
        <v>244</v>
      </c>
    </row>
    <row r="17" spans="1:18" x14ac:dyDescent="0.4">
      <c r="A17" t="s">
        <v>68</v>
      </c>
      <c r="B17" t="s">
        <v>241</v>
      </c>
      <c r="M17">
        <f>1.5*A34</f>
        <v>15</v>
      </c>
      <c r="N17" t="s">
        <v>245</v>
      </c>
      <c r="Q17">
        <f>ROUND((3*D8*1000*(Q15+A62))/(2*(Q15^2)*A64),3)</f>
        <v>1.83</v>
      </c>
      <c r="R17" t="s">
        <v>246</v>
      </c>
    </row>
    <row r="18" spans="1:18" x14ac:dyDescent="0.4">
      <c r="A18" s="9">
        <f>自動化シート!O56</f>
        <v>8</v>
      </c>
      <c r="B18" t="s">
        <v>247</v>
      </c>
      <c r="M18">
        <f>0.5*(A16-M7)</f>
        <v>17.5</v>
      </c>
      <c r="N18" t="s">
        <v>248</v>
      </c>
      <c r="Q18" t="s">
        <v>244</v>
      </c>
    </row>
    <row r="19" spans="1:18" x14ac:dyDescent="0.4">
      <c r="A19" t="s">
        <v>48</v>
      </c>
      <c r="M19" t="s">
        <v>48</v>
      </c>
      <c r="Q19">
        <f>ROUND((D8*1000)/(2*(Q15-A62)*A50),3)</f>
        <v>0.65100000000000002</v>
      </c>
      <c r="R19" t="s">
        <v>249</v>
      </c>
    </row>
    <row r="20" spans="1:18" x14ac:dyDescent="0.4">
      <c r="A20">
        <v>45</v>
      </c>
      <c r="B20" t="s">
        <v>250</v>
      </c>
      <c r="M20">
        <f>ROUND((2*D6*1000)/(A70*(A42^2)*A40),2)</f>
        <v>18.78</v>
      </c>
    </row>
    <row r="21" spans="1:18" x14ac:dyDescent="0.4">
      <c r="A21" t="s">
        <v>54</v>
      </c>
      <c r="M21" t="s">
        <v>8</v>
      </c>
    </row>
    <row r="22" spans="1:18" x14ac:dyDescent="0.4">
      <c r="A22" s="9">
        <f>自動化シート!P66</f>
        <v>5</v>
      </c>
      <c r="B22" t="s">
        <v>251</v>
      </c>
      <c r="M22">
        <f>ROUND(235/M20,2)</f>
        <v>12.51</v>
      </c>
    </row>
    <row r="23" spans="1:18" x14ac:dyDescent="0.4">
      <c r="A23" t="s">
        <v>252</v>
      </c>
    </row>
    <row r="24" spans="1:18" x14ac:dyDescent="0.4">
      <c r="A24">
        <v>196</v>
      </c>
      <c r="B24" t="s">
        <v>253</v>
      </c>
    </row>
    <row r="25" spans="1:18" x14ac:dyDescent="0.4">
      <c r="A25" s="2" t="s">
        <v>254</v>
      </c>
    </row>
    <row r="26" spans="1:18" x14ac:dyDescent="0.4">
      <c r="A26" s="9">
        <v>50</v>
      </c>
      <c r="B26" t="s">
        <v>255</v>
      </c>
    </row>
    <row r="27" spans="1:18" x14ac:dyDescent="0.4">
      <c r="A27" s="2" t="s">
        <v>22</v>
      </c>
    </row>
    <row r="28" spans="1:18" x14ac:dyDescent="0.4">
      <c r="A28">
        <f>J6</f>
        <v>373</v>
      </c>
      <c r="B28" s="3" t="s">
        <v>256</v>
      </c>
    </row>
    <row r="29" spans="1:18" x14ac:dyDescent="0.4">
      <c r="A29" t="s">
        <v>16</v>
      </c>
    </row>
    <row r="30" spans="1:18" x14ac:dyDescent="0.4">
      <c r="A30">
        <v>40</v>
      </c>
      <c r="B30" t="s">
        <v>257</v>
      </c>
    </row>
    <row r="31" spans="1:18" x14ac:dyDescent="0.4">
      <c r="A31" t="s">
        <v>77</v>
      </c>
    </row>
    <row r="32" spans="1:18" x14ac:dyDescent="0.4">
      <c r="A32">
        <v>60</v>
      </c>
    </row>
    <row r="33" spans="1:2" x14ac:dyDescent="0.4">
      <c r="A33" t="s">
        <v>17</v>
      </c>
    </row>
    <row r="34" spans="1:2" x14ac:dyDescent="0.4">
      <c r="A34" s="9">
        <f>自動化シート!AB3</f>
        <v>10</v>
      </c>
      <c r="B34" t="s">
        <v>258</v>
      </c>
    </row>
    <row r="35" spans="1:2" x14ac:dyDescent="0.4">
      <c r="A35" t="s">
        <v>170</v>
      </c>
    </row>
    <row r="36" spans="1:2" x14ac:dyDescent="0.4">
      <c r="A36" s="9">
        <f>自動化シート!P56</f>
        <v>4</v>
      </c>
      <c r="B36" t="s">
        <v>259</v>
      </c>
    </row>
    <row r="37" spans="1:2" x14ac:dyDescent="0.4">
      <c r="A37" s="2" t="s">
        <v>22</v>
      </c>
    </row>
    <row r="38" spans="1:2" x14ac:dyDescent="0.4">
      <c r="A38" s="9">
        <f>自動化シート!N84</f>
        <v>28</v>
      </c>
      <c r="B38" t="s">
        <v>260</v>
      </c>
    </row>
    <row r="39" spans="1:2" x14ac:dyDescent="0.4">
      <c r="A39" t="s">
        <v>21</v>
      </c>
    </row>
    <row r="40" spans="1:2" x14ac:dyDescent="0.4">
      <c r="A40" s="9">
        <v>2</v>
      </c>
      <c r="B40" t="s">
        <v>261</v>
      </c>
    </row>
    <row r="41" spans="1:2" x14ac:dyDescent="0.4">
      <c r="A41" t="s">
        <v>54</v>
      </c>
    </row>
    <row r="42" spans="1:2" x14ac:dyDescent="0.4">
      <c r="A42" s="9">
        <f>自動化シート!AC3</f>
        <v>11</v>
      </c>
      <c r="B42" t="s">
        <v>262</v>
      </c>
    </row>
    <row r="43" spans="1:2" x14ac:dyDescent="0.4">
      <c r="A43" t="s">
        <v>8</v>
      </c>
    </row>
    <row r="44" spans="1:2" x14ac:dyDescent="0.4">
      <c r="A44" s="1">
        <v>5</v>
      </c>
      <c r="B44" t="s">
        <v>206</v>
      </c>
    </row>
    <row r="45" spans="1:2" x14ac:dyDescent="0.4">
      <c r="A45" t="s">
        <v>56</v>
      </c>
    </row>
    <row r="46" spans="1:2" x14ac:dyDescent="0.4">
      <c r="A46" s="9">
        <f>自動化シート!AB14</f>
        <v>10</v>
      </c>
      <c r="B46" t="s">
        <v>263</v>
      </c>
    </row>
    <row r="47" spans="1:2" x14ac:dyDescent="0.4">
      <c r="A47" t="s">
        <v>264</v>
      </c>
    </row>
    <row r="48" spans="1:2" x14ac:dyDescent="0.4">
      <c r="A48" t="str">
        <f>自動化シート!AC14</f>
        <v>M10</v>
      </c>
    </row>
    <row r="49" spans="1:2" x14ac:dyDescent="0.4">
      <c r="A49" t="s">
        <v>57</v>
      </c>
    </row>
    <row r="50" spans="1:2" x14ac:dyDescent="0.4">
      <c r="A50">
        <v>60</v>
      </c>
      <c r="B50" t="s">
        <v>265</v>
      </c>
    </row>
    <row r="51" spans="1:2" x14ac:dyDescent="0.4">
      <c r="A51" t="s">
        <v>225</v>
      </c>
    </row>
    <row r="52" spans="1:2" x14ac:dyDescent="0.4">
      <c r="A52" s="9">
        <f>A46</f>
        <v>10</v>
      </c>
      <c r="B52" s="3" t="s">
        <v>266</v>
      </c>
    </row>
    <row r="53" spans="1:2" x14ac:dyDescent="0.4">
      <c r="A53" t="s">
        <v>267</v>
      </c>
    </row>
    <row r="54" spans="1:2" x14ac:dyDescent="0.4">
      <c r="A54" s="9">
        <f>自動化シート!AD14</f>
        <v>8.3759999999999994</v>
      </c>
      <c r="B54" t="s">
        <v>268</v>
      </c>
    </row>
    <row r="55" spans="1:2" x14ac:dyDescent="0.4">
      <c r="A55" t="s">
        <v>269</v>
      </c>
    </row>
    <row r="56" spans="1:2" x14ac:dyDescent="0.4">
      <c r="A56">
        <v>15</v>
      </c>
      <c r="B56" t="s">
        <v>270</v>
      </c>
    </row>
    <row r="57" spans="1:2" x14ac:dyDescent="0.4">
      <c r="A57" t="s">
        <v>15</v>
      </c>
    </row>
    <row r="58" spans="1:2" x14ac:dyDescent="0.4">
      <c r="A58" s="9">
        <f>自動化シート!AE14</f>
        <v>1.5</v>
      </c>
      <c r="B58" t="s">
        <v>271</v>
      </c>
    </row>
    <row r="59" spans="1:2" x14ac:dyDescent="0.4">
      <c r="A59" t="s">
        <v>237</v>
      </c>
    </row>
    <row r="60" spans="1:2" x14ac:dyDescent="0.4">
      <c r="A60" s="9">
        <f>自動化シート!C133</f>
        <v>6.3</v>
      </c>
      <c r="B60" t="s">
        <v>272</v>
      </c>
    </row>
    <row r="61" spans="1:2" x14ac:dyDescent="0.4">
      <c r="A61" t="s">
        <v>273</v>
      </c>
    </row>
    <row r="62" spans="1:2" x14ac:dyDescent="0.4">
      <c r="A62">
        <f>A22</f>
        <v>5</v>
      </c>
    </row>
    <row r="63" spans="1:2" x14ac:dyDescent="0.4">
      <c r="A63" t="s">
        <v>77</v>
      </c>
    </row>
    <row r="64" spans="1:2" x14ac:dyDescent="0.4">
      <c r="A64">
        <v>60</v>
      </c>
      <c r="B64" t="s">
        <v>274</v>
      </c>
    </row>
    <row r="65" spans="1:2" x14ac:dyDescent="0.4">
      <c r="A65" t="s">
        <v>244</v>
      </c>
    </row>
    <row r="66" spans="1:2" x14ac:dyDescent="0.4">
      <c r="A66">
        <v>4</v>
      </c>
      <c r="B66" t="s">
        <v>275</v>
      </c>
    </row>
    <row r="67" spans="1:2" x14ac:dyDescent="0.4">
      <c r="A67" t="s">
        <v>108</v>
      </c>
    </row>
    <row r="68" spans="1:2" x14ac:dyDescent="0.4">
      <c r="A68" s="13">
        <v>22</v>
      </c>
      <c r="B68" t="s">
        <v>276</v>
      </c>
    </row>
    <row r="69" spans="1:2" x14ac:dyDescent="0.4">
      <c r="A69" t="s">
        <v>60</v>
      </c>
    </row>
    <row r="70" spans="1:2" x14ac:dyDescent="0.4">
      <c r="A70">
        <f>PI()</f>
        <v>3.1415926535897931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>
      <selection activeCell="B55" sqref="B55"/>
    </sheetView>
  </sheetViews>
  <sheetFormatPr defaultRowHeight="18.75" x14ac:dyDescent="0.4"/>
  <cols>
    <col min="2" max="2" width="72" customWidth="1"/>
    <col min="3" max="3" width="9.5" customWidth="1"/>
    <col min="5" max="5" width="33.125" customWidth="1"/>
  </cols>
  <sheetData>
    <row r="1" spans="1:5" x14ac:dyDescent="0.4">
      <c r="A1" s="2" t="s">
        <v>254</v>
      </c>
      <c r="C1" t="s">
        <v>277</v>
      </c>
      <c r="D1" t="s">
        <v>278</v>
      </c>
    </row>
    <row r="2" spans="1:5" x14ac:dyDescent="0.4">
      <c r="A2" s="1">
        <v>44</v>
      </c>
      <c r="B2" t="s">
        <v>279</v>
      </c>
      <c r="D2">
        <f>ROUND(('例題7.1~7.4'!D6*1000*('例題7.5'!A2^2)/(2*('例題7.5'!A6^3)))*(3*'例題7.5'!A2+2*'例題7.5'!A4),0)</f>
        <v>2231</v>
      </c>
    </row>
    <row r="3" spans="1:5" x14ac:dyDescent="0.4">
      <c r="A3" s="2" t="s">
        <v>280</v>
      </c>
      <c r="D3" t="s">
        <v>281</v>
      </c>
    </row>
    <row r="4" spans="1:5" x14ac:dyDescent="0.4">
      <c r="A4" s="1">
        <v>44</v>
      </c>
      <c r="B4" t="str">
        <f>B2</f>
        <v>帯中心からの距離</v>
      </c>
      <c r="D4">
        <f>'例題7.1~7.4'!D6*1000-'例題7.5'!D2</f>
        <v>4909</v>
      </c>
    </row>
    <row r="5" spans="1:5" x14ac:dyDescent="0.4">
      <c r="A5" s="2" t="s">
        <v>22</v>
      </c>
      <c r="D5" t="s">
        <v>282</v>
      </c>
    </row>
    <row r="6" spans="1:5" x14ac:dyDescent="0.4">
      <c r="A6">
        <f>A2+A4</f>
        <v>88</v>
      </c>
      <c r="D6">
        <f>ROUND((D2*A6*A10)/((A8^2)+(A10^2)),0)</f>
        <v>1832</v>
      </c>
    </row>
    <row r="7" spans="1:5" x14ac:dyDescent="0.4">
      <c r="A7" s="2" t="s">
        <v>283</v>
      </c>
      <c r="D7" t="s">
        <v>284</v>
      </c>
    </row>
    <row r="8" spans="1:5" x14ac:dyDescent="0.4">
      <c r="A8" s="1">
        <v>15</v>
      </c>
      <c r="D8">
        <f>ROUND((A8/A10)*D6,0)</f>
        <v>262</v>
      </c>
    </row>
    <row r="9" spans="1:5" x14ac:dyDescent="0.4">
      <c r="A9" s="2" t="s">
        <v>285</v>
      </c>
      <c r="C9" t="s">
        <v>173</v>
      </c>
      <c r="D9" t="s">
        <v>54</v>
      </c>
    </row>
    <row r="10" spans="1:5" x14ac:dyDescent="0.4">
      <c r="A10" s="1">
        <v>105</v>
      </c>
      <c r="D10">
        <f>ROUND(SQRT((4*'例題7.1~7.4'!D6*1000)/('例題7.1~7.4'!A70*'例題7.5'!A12)),2)</f>
        <v>13.48</v>
      </c>
      <c r="E10" t="s">
        <v>286</v>
      </c>
    </row>
    <row r="11" spans="1:5" x14ac:dyDescent="0.4">
      <c r="A11" t="s">
        <v>48</v>
      </c>
      <c r="D11">
        <f>ROUND(SQRT((4*D6)/('例題7.1~7.4'!A70*'例題7.5'!A14)),2)</f>
        <v>6.24</v>
      </c>
      <c r="E11" t="s">
        <v>287</v>
      </c>
    </row>
    <row r="12" spans="1:5" x14ac:dyDescent="0.4">
      <c r="A12">
        <v>50</v>
      </c>
      <c r="D12" t="s">
        <v>21</v>
      </c>
    </row>
    <row r="13" spans="1:5" x14ac:dyDescent="0.4">
      <c r="A13" t="s">
        <v>57</v>
      </c>
      <c r="D13">
        <f>ROUND((4*D6)/('例題7.1~7.4'!A70*(('例題7.5'!A16^2)-('例題7.5'!A18^2))*'例題7.5'!A26),2)</f>
        <v>2.46</v>
      </c>
    </row>
    <row r="14" spans="1:5" x14ac:dyDescent="0.4">
      <c r="A14">
        <v>60</v>
      </c>
      <c r="D14" s="2" t="s">
        <v>22</v>
      </c>
    </row>
    <row r="15" spans="1:5" x14ac:dyDescent="0.4">
      <c r="A15" t="s">
        <v>17</v>
      </c>
      <c r="D15">
        <f>A28*A20</f>
        <v>6</v>
      </c>
      <c r="E15" t="s">
        <v>288</v>
      </c>
    </row>
    <row r="16" spans="1:5" x14ac:dyDescent="0.4">
      <c r="A16" s="9">
        <f>自動化シート!AK3</f>
        <v>16</v>
      </c>
      <c r="B16" t="s">
        <v>289</v>
      </c>
      <c r="C16" t="s">
        <v>290</v>
      </c>
      <c r="D16" t="s">
        <v>17</v>
      </c>
    </row>
    <row r="17" spans="1:5" x14ac:dyDescent="0.4">
      <c r="A17" t="s">
        <v>54</v>
      </c>
      <c r="D17">
        <f>ROUND(SQRT((2*'例題7.1~7.4'!D6*1000)/('例題7.1~7.4'!A70*'例題7.5'!A12)),2)</f>
        <v>9.5299999999999994</v>
      </c>
      <c r="E17" t="s">
        <v>74</v>
      </c>
    </row>
    <row r="18" spans="1:5" x14ac:dyDescent="0.4">
      <c r="A18" s="9">
        <f>自動化シート!AJ3</f>
        <v>13.835000000000001</v>
      </c>
      <c r="B18" t="s">
        <v>291</v>
      </c>
      <c r="D18" t="s">
        <v>54</v>
      </c>
    </row>
    <row r="19" spans="1:5" x14ac:dyDescent="0.4">
      <c r="A19" t="s">
        <v>15</v>
      </c>
      <c r="D19">
        <f>ROUND(SQRT((4*D8)/('例題7.1~7.4'!A70*'例題7.5'!A14)),2)</f>
        <v>2.36</v>
      </c>
      <c r="E19" t="s">
        <v>74</v>
      </c>
    </row>
    <row r="20" spans="1:5" x14ac:dyDescent="0.4">
      <c r="A20" s="9">
        <f>自動化シート!AM3</f>
        <v>2</v>
      </c>
      <c r="B20" t="str">
        <f>B18</f>
        <v>D10,D11の値をもとに付表3から決定した値</v>
      </c>
      <c r="C20" t="s">
        <v>192</v>
      </c>
      <c r="D20" t="s">
        <v>244</v>
      </c>
    </row>
    <row r="21" spans="1:5" x14ac:dyDescent="0.4">
      <c r="A21" t="s">
        <v>292</v>
      </c>
      <c r="D21">
        <f>ROUND(D2/((A42-A32)*A44),2)</f>
        <v>7.59</v>
      </c>
      <c r="E21" t="s">
        <v>293</v>
      </c>
    </row>
    <row r="22" spans="1:5" x14ac:dyDescent="0.4">
      <c r="A22" t="str">
        <f>自動化シート!AL3</f>
        <v>M16</v>
      </c>
      <c r="D22">
        <f>ROUND(D2/((SQRT((A42^2)-(A32^2))*A46)),2)</f>
        <v>4.4800000000000004</v>
      </c>
      <c r="E22" t="s">
        <v>294</v>
      </c>
    </row>
    <row r="23" spans="1:5" x14ac:dyDescent="0.4">
      <c r="A23" t="s">
        <v>295</v>
      </c>
      <c r="D23" t="s">
        <v>237</v>
      </c>
    </row>
    <row r="24" spans="1:5" x14ac:dyDescent="0.4">
      <c r="A24" s="9">
        <f>自動化シート!AN3</f>
        <v>26.75</v>
      </c>
      <c r="B24" t="s">
        <v>296</v>
      </c>
      <c r="D24">
        <f>ROUND(D2/(A42*A46),2)</f>
        <v>4.2300000000000004</v>
      </c>
      <c r="E24" t="s">
        <v>297</v>
      </c>
    </row>
    <row r="25" spans="1:5" x14ac:dyDescent="0.4">
      <c r="A25" t="s">
        <v>269</v>
      </c>
      <c r="D25" s="2" t="s">
        <v>298</v>
      </c>
    </row>
    <row r="26" spans="1:5" x14ac:dyDescent="0.4">
      <c r="A26">
        <v>14.7</v>
      </c>
      <c r="B26" t="s">
        <v>299</v>
      </c>
      <c r="D26">
        <f>'例題7.1~7.4'!A16+10+0.5*A48</f>
        <v>95</v>
      </c>
    </row>
    <row r="27" spans="1:5" x14ac:dyDescent="0.4">
      <c r="A27" t="s">
        <v>21</v>
      </c>
      <c r="D27" t="s">
        <v>227</v>
      </c>
    </row>
    <row r="28" spans="1:5" x14ac:dyDescent="0.4">
      <c r="A28">
        <f>ROUNDUP(D13,0)</f>
        <v>3</v>
      </c>
      <c r="B28" t="s">
        <v>300</v>
      </c>
      <c r="D28">
        <f>D2*D26</f>
        <v>211945</v>
      </c>
    </row>
    <row r="29" spans="1:5" x14ac:dyDescent="0.4">
      <c r="A29" s="2" t="s">
        <v>22</v>
      </c>
      <c r="D29" t="s">
        <v>301</v>
      </c>
    </row>
    <row r="30" spans="1:5" x14ac:dyDescent="0.4">
      <c r="A30" s="13">
        <v>10</v>
      </c>
      <c r="B30" t="s">
        <v>302</v>
      </c>
      <c r="D30">
        <f>ROUND((6*D28)/(A54*(A52^2)),2)</f>
        <v>8.08</v>
      </c>
      <c r="E30" t="str">
        <f>E19</f>
        <v>計算値</v>
      </c>
    </row>
    <row r="31" spans="1:5" x14ac:dyDescent="0.4">
      <c r="A31" t="s">
        <v>17</v>
      </c>
      <c r="D31" t="s">
        <v>303</v>
      </c>
    </row>
    <row r="32" spans="1:5" x14ac:dyDescent="0.4">
      <c r="A32" s="9">
        <f>自動化シート!C198</f>
        <v>10</v>
      </c>
      <c r="B32" t="s">
        <v>304</v>
      </c>
      <c r="D32">
        <f>A52-A50</f>
        <v>82</v>
      </c>
    </row>
    <row r="33" spans="1:5" x14ac:dyDescent="0.4">
      <c r="A33" t="s">
        <v>305</v>
      </c>
      <c r="B33" t="s">
        <v>306</v>
      </c>
      <c r="D33" t="s">
        <v>9</v>
      </c>
    </row>
    <row r="34" spans="1:5" x14ac:dyDescent="0.4">
      <c r="A34" s="9">
        <f>自動化シート!Y39</f>
        <v>6</v>
      </c>
      <c r="B34" t="s">
        <v>307</v>
      </c>
      <c r="D34">
        <f>A42*A50+D32*A56</f>
        <v>1120</v>
      </c>
    </row>
    <row r="35" spans="1:5" x14ac:dyDescent="0.4">
      <c r="A35" t="s">
        <v>15</v>
      </c>
      <c r="D35" t="s">
        <v>240</v>
      </c>
    </row>
    <row r="36" spans="1:5" x14ac:dyDescent="0.4">
      <c r="A36" s="9">
        <f>自動化シート!AK28</f>
        <v>1</v>
      </c>
      <c r="B36" t="s">
        <v>308</v>
      </c>
      <c r="D36">
        <f>ROUND((0.5*A42*(A50^2)+A56*D32*(A50+0.5*D32))/D34,2)</f>
        <v>38.68</v>
      </c>
    </row>
    <row r="37" spans="1:5" x14ac:dyDescent="0.4">
      <c r="A37" t="s">
        <v>54</v>
      </c>
      <c r="D37" t="s">
        <v>243</v>
      </c>
    </row>
    <row r="38" spans="1:5" x14ac:dyDescent="0.4">
      <c r="A38" s="9">
        <f>自動化シート!AL28</f>
        <v>4.9169999999999998</v>
      </c>
      <c r="B38" t="s">
        <v>308</v>
      </c>
      <c r="D38">
        <f>A52-D36</f>
        <v>53.32</v>
      </c>
    </row>
    <row r="39" spans="1:5" x14ac:dyDescent="0.4">
      <c r="A39" t="s">
        <v>309</v>
      </c>
      <c r="D39" s="2" t="s">
        <v>310</v>
      </c>
    </row>
    <row r="40" spans="1:5" x14ac:dyDescent="0.4">
      <c r="A40" t="str">
        <f>自動化シート!AM28</f>
        <v>M6</v>
      </c>
      <c r="B40" t="s">
        <v>311</v>
      </c>
      <c r="D40">
        <f>ROUND((((A42*(A50^2)/2)+(A42*A50*(D36-(0.5*A50))^2))+(((A56*(D32^3))/12)+A56*D32*((D38-(0.5*D32))^2))),0)</f>
        <v>925738</v>
      </c>
      <c r="E40" s="5" t="s">
        <v>312</v>
      </c>
    </row>
    <row r="41" spans="1:5" x14ac:dyDescent="0.4">
      <c r="A41" t="s">
        <v>313</v>
      </c>
      <c r="D41" t="s">
        <v>314</v>
      </c>
    </row>
    <row r="42" spans="1:5" x14ac:dyDescent="0.4">
      <c r="A42">
        <f>ROUNDUP(A24,0)+3</f>
        <v>30</v>
      </c>
      <c r="B42" t="s">
        <v>315</v>
      </c>
      <c r="D42">
        <f>ROUND(D40/D36,0)</f>
        <v>23933</v>
      </c>
      <c r="E42" t="s">
        <v>240</v>
      </c>
    </row>
    <row r="43" spans="1:5" x14ac:dyDescent="0.4">
      <c r="A43" t="s">
        <v>57</v>
      </c>
      <c r="D43" t="s">
        <v>316</v>
      </c>
    </row>
    <row r="44" spans="1:5" x14ac:dyDescent="0.4">
      <c r="A44">
        <v>14.7</v>
      </c>
      <c r="B44" t="s">
        <v>317</v>
      </c>
      <c r="D44">
        <f>ROUND(D40/D38,0)</f>
        <v>17362</v>
      </c>
      <c r="E44" t="s">
        <v>243</v>
      </c>
    </row>
    <row r="45" spans="1:5" x14ac:dyDescent="0.4">
      <c r="A45" t="s">
        <v>48</v>
      </c>
      <c r="D45" t="s">
        <v>318</v>
      </c>
    </row>
    <row r="46" spans="1:5" x14ac:dyDescent="0.4">
      <c r="A46">
        <v>17.600000000000001</v>
      </c>
      <c r="B46" t="str">
        <f>B44</f>
        <v>7.16表から決定</v>
      </c>
      <c r="D46">
        <f>ROUND(D28/D42,2)</f>
        <v>8.86</v>
      </c>
      <c r="E46" t="s">
        <v>319</v>
      </c>
    </row>
    <row r="47" spans="1:5" x14ac:dyDescent="0.4">
      <c r="A47" t="s">
        <v>244</v>
      </c>
      <c r="D47" t="s">
        <v>320</v>
      </c>
    </row>
    <row r="48" spans="1:5" x14ac:dyDescent="0.4">
      <c r="A48" s="1">
        <f>ROUNDUP(D21,0)+2</f>
        <v>10</v>
      </c>
      <c r="B48" t="s">
        <v>321</v>
      </c>
      <c r="D48">
        <f>ROUND(D28/D44,2)</f>
        <v>12.21</v>
      </c>
      <c r="E48" t="s">
        <v>322</v>
      </c>
    </row>
    <row r="49" spans="1:2" x14ac:dyDescent="0.4">
      <c r="A49" t="s">
        <v>237</v>
      </c>
      <c r="B49" t="s">
        <v>323</v>
      </c>
    </row>
    <row r="50" spans="1:2" x14ac:dyDescent="0.4">
      <c r="A50" s="9">
        <f>MAX(ROUND(D21,0),ROUND(D22,0),ROUND(D24,0),A48)</f>
        <v>10</v>
      </c>
      <c r="B50" t="s">
        <v>324</v>
      </c>
    </row>
    <row r="51" spans="1:2" x14ac:dyDescent="0.4">
      <c r="A51" t="s">
        <v>325</v>
      </c>
    </row>
    <row r="52" spans="1:2" x14ac:dyDescent="0.4">
      <c r="A52" s="9">
        <f>ROUNDUP(123*A6/118,0)</f>
        <v>92</v>
      </c>
    </row>
    <row r="53" spans="1:2" x14ac:dyDescent="0.4">
      <c r="A53" t="s">
        <v>77</v>
      </c>
    </row>
    <row r="54" spans="1:2" x14ac:dyDescent="0.4">
      <c r="A54">
        <v>18.600000000000001</v>
      </c>
      <c r="B54" t="str">
        <f>B46</f>
        <v>7.16表から決定</v>
      </c>
    </row>
    <row r="55" spans="1:2" x14ac:dyDescent="0.4">
      <c r="A55" t="s">
        <v>301</v>
      </c>
    </row>
    <row r="56" spans="1:2" x14ac:dyDescent="0.4">
      <c r="A56" s="9">
        <f>MAX(A50,D30)</f>
        <v>10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>
      <selection activeCell="I22" sqref="I22"/>
    </sheetView>
  </sheetViews>
  <sheetFormatPr defaultRowHeight="18.75" x14ac:dyDescent="0.4"/>
  <cols>
    <col min="1" max="1" width="12.75" bestFit="1" customWidth="1"/>
    <col min="2" max="2" width="36.75" customWidth="1"/>
    <col min="4" max="4" width="9.5" bestFit="1" customWidth="1"/>
    <col min="5" max="5" width="24.25" customWidth="1"/>
    <col min="9" max="9" width="12.375" customWidth="1"/>
    <col min="12" max="12" width="14.25" customWidth="1"/>
    <col min="13" max="13" width="11.375" customWidth="1"/>
  </cols>
  <sheetData>
    <row r="1" spans="1:14" x14ac:dyDescent="0.4">
      <c r="A1" t="s">
        <v>326</v>
      </c>
      <c r="C1" t="s">
        <v>327</v>
      </c>
      <c r="D1" t="s">
        <v>174</v>
      </c>
      <c r="F1" t="s">
        <v>328</v>
      </c>
      <c r="G1" t="s">
        <v>329</v>
      </c>
      <c r="H1" t="s">
        <v>330</v>
      </c>
      <c r="K1" t="s">
        <v>331</v>
      </c>
      <c r="L1" t="s">
        <v>332</v>
      </c>
    </row>
    <row r="2" spans="1:14" x14ac:dyDescent="0.4">
      <c r="A2" s="9">
        <f>360-'例題7.1~7.4'!A10</f>
        <v>120</v>
      </c>
      <c r="D2">
        <f>ROUND(SQRT((('例題7.1~7.4'!D6*1000)^2)+(('例題7.1~7.4'!D8*1000)^2)-(2*'例題7.1~7.4'!D6*1000*'例題7.1~7.4'!D8*1000*COS(RADIANS('例題7.6~7.8'!A2)))),0)</f>
        <v>7792</v>
      </c>
      <c r="G2">
        <f>ROUND(-340*A18,0)</f>
        <v>-302</v>
      </c>
      <c r="H2">
        <f>ABS(G2)</f>
        <v>302</v>
      </c>
      <c r="L2">
        <f>G8-A22</f>
        <v>168</v>
      </c>
    </row>
    <row r="3" spans="1:14" x14ac:dyDescent="0.4">
      <c r="A3" t="s">
        <v>333</v>
      </c>
      <c r="D3" t="s">
        <v>227</v>
      </c>
      <c r="G3" t="s">
        <v>334</v>
      </c>
      <c r="H3" t="s">
        <v>335</v>
      </c>
      <c r="L3" t="s">
        <v>336</v>
      </c>
    </row>
    <row r="4" spans="1:14" x14ac:dyDescent="0.4">
      <c r="A4">
        <f>'例題7.1~7.4'!A16+10</f>
        <v>90</v>
      </c>
      <c r="D4">
        <f>D2*0.5*A4</f>
        <v>350640</v>
      </c>
      <c r="G4">
        <f>ROUND(-335*A18,0)</f>
        <v>-298</v>
      </c>
      <c r="H4">
        <f>ABS(G4)</f>
        <v>298</v>
      </c>
      <c r="L4">
        <f>ROUND(SQRT((G6^2)-(L2^2)),0)</f>
        <v>389</v>
      </c>
    </row>
    <row r="5" spans="1:14" x14ac:dyDescent="0.4">
      <c r="A5" t="s">
        <v>216</v>
      </c>
      <c r="D5" t="s">
        <v>337</v>
      </c>
      <c r="G5" t="s">
        <v>338</v>
      </c>
      <c r="L5" t="s">
        <v>339</v>
      </c>
    </row>
    <row r="6" spans="1:14" x14ac:dyDescent="0.4">
      <c r="A6" s="9">
        <f>'例題7.1~7.4'!D4*1000</f>
        <v>5970</v>
      </c>
      <c r="D6">
        <f>A6*0.5*'例題7.1~7.4'!D2</f>
        <v>1128330</v>
      </c>
      <c r="G6">
        <f>ROUND(SQRT((G2^2)+(G4^2)),0)</f>
        <v>424</v>
      </c>
      <c r="L6">
        <f>ROUND(2*'例題7.1~7.4'!A70*G8*(A24/360),0)</f>
        <v>888</v>
      </c>
    </row>
    <row r="7" spans="1:14" x14ac:dyDescent="0.4">
      <c r="A7" t="s">
        <v>340</v>
      </c>
      <c r="D7" t="s">
        <v>341</v>
      </c>
      <c r="G7" t="s">
        <v>342</v>
      </c>
      <c r="L7" t="s">
        <v>343</v>
      </c>
    </row>
    <row r="8" spans="1:14" x14ac:dyDescent="0.4">
      <c r="A8">
        <f>'例題7.1~7.4'!A6</f>
        <v>400</v>
      </c>
      <c r="B8" t="s">
        <v>344</v>
      </c>
      <c r="D8">
        <f>ROUND(D6/D4,2)</f>
        <v>3.22</v>
      </c>
      <c r="G8">
        <f>0.5*A8+A20+0.5*'例題7.1~7.4'!A18</f>
        <v>212</v>
      </c>
      <c r="L8">
        <f>ROUND((G20-G22)/COS(G18),0)</f>
        <v>138</v>
      </c>
    </row>
    <row r="9" spans="1:14" ht="18.75" customHeight="1" x14ac:dyDescent="0.4">
      <c r="A9" t="s">
        <v>345</v>
      </c>
      <c r="D9" t="s">
        <v>346</v>
      </c>
      <c r="G9" t="s">
        <v>347</v>
      </c>
      <c r="L9" t="s">
        <v>348</v>
      </c>
      <c r="M9" t="s">
        <v>349</v>
      </c>
    </row>
    <row r="10" spans="1:14" ht="18.75" customHeight="1" x14ac:dyDescent="0.4">
      <c r="A10" s="1">
        <v>20</v>
      </c>
      <c r="B10" t="s">
        <v>59</v>
      </c>
      <c r="D10">
        <f>(D4/2)*(1+SQRT(1+D8^2))</f>
        <v>766447.46081040765</v>
      </c>
      <c r="G10">
        <f>G8-A22</f>
        <v>168</v>
      </c>
      <c r="L10">
        <f>L4+L6+L8</f>
        <v>1415</v>
      </c>
      <c r="M10">
        <f>L6+L8+50</f>
        <v>1076</v>
      </c>
      <c r="N10" t="s">
        <v>350</v>
      </c>
    </row>
    <row r="11" spans="1:14" ht="18.75" customHeight="1" x14ac:dyDescent="0.4">
      <c r="A11" t="s">
        <v>351</v>
      </c>
      <c r="D11" t="s">
        <v>352</v>
      </c>
      <c r="G11" t="s">
        <v>353</v>
      </c>
      <c r="H11" s="8" t="s">
        <v>354</v>
      </c>
      <c r="L11" t="s">
        <v>355</v>
      </c>
    </row>
    <row r="12" spans="1:14" ht="18.75" customHeight="1" x14ac:dyDescent="0.4">
      <c r="A12" s="1">
        <v>10</v>
      </c>
      <c r="B12" t="str">
        <f>B10</f>
        <v>決定値</v>
      </c>
      <c r="D12">
        <f>D4*SQRT(1+D8^2)</f>
        <v>1182254.9216208153</v>
      </c>
      <c r="G12">
        <f>ASIN(G10/G6)</f>
        <v>0.40740320846302147</v>
      </c>
      <c r="H12" s="7">
        <f>ROUND(G12*180/'例題7.1~7.4'!A70,1)</f>
        <v>23.3</v>
      </c>
      <c r="L12">
        <f>L10-A28-A30</f>
        <v>1273</v>
      </c>
    </row>
    <row r="13" spans="1:14" ht="18.75" customHeight="1" x14ac:dyDescent="0.4">
      <c r="A13" t="s">
        <v>77</v>
      </c>
      <c r="D13" t="s">
        <v>267</v>
      </c>
      <c r="G13" t="s">
        <v>356</v>
      </c>
      <c r="H13" s="8" t="s">
        <v>357</v>
      </c>
      <c r="I13" t="s">
        <v>358</v>
      </c>
    </row>
    <row r="14" spans="1:14" ht="18.75" customHeight="1" x14ac:dyDescent="0.4">
      <c r="A14">
        <v>19</v>
      </c>
      <c r="B14" t="s">
        <v>359</v>
      </c>
      <c r="D14">
        <f>ROUND(((A8^4)-((32*D10*A8)/(PI()*'例題7.6~7.8'!A14)))^(1/4),1)</f>
        <v>399.4</v>
      </c>
      <c r="E14" t="s">
        <v>360</v>
      </c>
      <c r="G14">
        <f>ASIN(H4/G6)</f>
        <v>0.77936829135590191</v>
      </c>
      <c r="H14" s="7">
        <f>ROUND(G14*180/'例題7.1~7.4'!A70,1)</f>
        <v>44.7</v>
      </c>
      <c r="I14">
        <f>H12+H14</f>
        <v>68</v>
      </c>
    </row>
    <row r="15" spans="1:14" ht="18.75" customHeight="1" x14ac:dyDescent="0.4">
      <c r="A15" t="s">
        <v>48</v>
      </c>
      <c r="D15" t="s">
        <v>345</v>
      </c>
      <c r="G15" t="s">
        <v>361</v>
      </c>
      <c r="H15" s="8" t="s">
        <v>362</v>
      </c>
    </row>
    <row r="16" spans="1:14" ht="18.75" customHeight="1" x14ac:dyDescent="0.4">
      <c r="A16">
        <v>15</v>
      </c>
      <c r="B16" t="s">
        <v>363</v>
      </c>
      <c r="D16">
        <f>0.5*(A8-D14)</f>
        <v>0.30000000000001137</v>
      </c>
      <c r="E16" t="s">
        <v>364</v>
      </c>
      <c r="G16">
        <f>'例題7.1~7.4'!A70/2-G12-G14</f>
        <v>0.38402482697597318</v>
      </c>
      <c r="H16" s="7">
        <f>ROUND(G16*180/'例題7.1~7.4'!A70,2)</f>
        <v>22</v>
      </c>
    </row>
    <row r="17" spans="1:9" x14ac:dyDescent="0.4">
      <c r="A17" t="s">
        <v>365</v>
      </c>
      <c r="D17" t="s">
        <v>267</v>
      </c>
      <c r="G17" t="s">
        <v>366</v>
      </c>
      <c r="H17" s="8" t="s">
        <v>367</v>
      </c>
    </row>
    <row r="18" spans="1:9" x14ac:dyDescent="0.4">
      <c r="A18">
        <f>A8/450</f>
        <v>0.88888888888888884</v>
      </c>
      <c r="D18">
        <f>ROUND((((A8^4)-((16*D12*A8)/('例題7.1~7.4'!A70*'例題7.6~7.8'!A16)))^(1/4)),1)</f>
        <v>399.4</v>
      </c>
      <c r="E18" t="s">
        <v>368</v>
      </c>
      <c r="G18">
        <f>270/180*'例題7.1~7.4'!A70-G16-A24/180*'例題7.1~7.4'!A70</f>
        <v>0.13957394862232597</v>
      </c>
      <c r="H18" s="7">
        <f>ROUND(G18*180/'例題7.1~7.4'!A70,2)</f>
        <v>8</v>
      </c>
    </row>
    <row r="19" spans="1:9" x14ac:dyDescent="0.4">
      <c r="A19" t="s">
        <v>369</v>
      </c>
      <c r="D19" t="s">
        <v>345</v>
      </c>
      <c r="G19" t="s">
        <v>370</v>
      </c>
      <c r="H19" t="s">
        <v>371</v>
      </c>
    </row>
    <row r="20" spans="1:9" x14ac:dyDescent="0.4">
      <c r="A20" s="9">
        <f>'例題7.1~7.4'!A18</f>
        <v>8</v>
      </c>
      <c r="B20" t="s">
        <v>372</v>
      </c>
      <c r="D20">
        <f>0.5*(A8-D18)</f>
        <v>0.30000000000001137</v>
      </c>
      <c r="E20" t="s">
        <v>373</v>
      </c>
      <c r="G20">
        <f>ROUND(G8*SIN(G18),1)</f>
        <v>29.5</v>
      </c>
      <c r="H20">
        <f>ROUND(-G8*COS(G18),0)</f>
        <v>-210</v>
      </c>
    </row>
    <row r="21" spans="1:9" x14ac:dyDescent="0.4">
      <c r="A21" s="6" t="s">
        <v>254</v>
      </c>
      <c r="D21" t="s">
        <v>374</v>
      </c>
      <c r="G21" t="s">
        <v>375</v>
      </c>
      <c r="H21" t="s">
        <v>376</v>
      </c>
    </row>
    <row r="22" spans="1:9" x14ac:dyDescent="0.4">
      <c r="A22" s="9">
        <f>'例題7.5'!A2</f>
        <v>44</v>
      </c>
      <c r="D22">
        <f>0.8*A12</f>
        <v>8</v>
      </c>
      <c r="G22">
        <f>ROUND(-120*A18,1)</f>
        <v>-106.7</v>
      </c>
      <c r="H22">
        <f>ROUND(((G8^2)-G20*G22)/H20,0)</f>
        <v>-229</v>
      </c>
      <c r="I22" t="s">
        <v>377</v>
      </c>
    </row>
    <row r="23" spans="1:9" x14ac:dyDescent="0.4">
      <c r="A23" t="s">
        <v>229</v>
      </c>
      <c r="G23" t="s">
        <v>378</v>
      </c>
      <c r="H23" t="s">
        <v>379</v>
      </c>
    </row>
    <row r="24" spans="1:9" x14ac:dyDescent="0.4">
      <c r="A24">
        <f>'例題7.1~7.4'!A10</f>
        <v>240</v>
      </c>
      <c r="G24">
        <f>ROUND(G22-A26*COS(G18),0)</f>
        <v>-196</v>
      </c>
      <c r="H24">
        <f>ROUNDDOWN(((G8^2)-G20*G24)/H20,0)</f>
        <v>-241</v>
      </c>
      <c r="I24" t="str">
        <f>I22</f>
        <v>yの値は四捨五入か切り捨て</v>
      </c>
    </row>
    <row r="25" spans="1:9" x14ac:dyDescent="0.4">
      <c r="A25" s="12" t="s">
        <v>380</v>
      </c>
    </row>
    <row r="26" spans="1:9" x14ac:dyDescent="0.4">
      <c r="A26" s="9">
        <f>'例題7.5'!A10-'例題7.5'!A8</f>
        <v>90</v>
      </c>
    </row>
    <row r="27" spans="1:9" x14ac:dyDescent="0.4">
      <c r="A27" t="s">
        <v>381</v>
      </c>
    </row>
    <row r="28" spans="1:9" x14ac:dyDescent="0.4">
      <c r="A28" s="9">
        <f>ROUND(80*A18,0)</f>
        <v>71</v>
      </c>
      <c r="B28" t="s">
        <v>382</v>
      </c>
    </row>
    <row r="29" spans="1:9" x14ac:dyDescent="0.4">
      <c r="A29" t="s">
        <v>383</v>
      </c>
    </row>
    <row r="30" spans="1:9" x14ac:dyDescent="0.4">
      <c r="A30">
        <f>A28</f>
        <v>71</v>
      </c>
      <c r="B30" t="str">
        <f>B28</f>
        <v>7.7図参考(L1=L2)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selection activeCell="G4" sqref="G4"/>
    </sheetView>
  </sheetViews>
  <sheetFormatPr defaultRowHeight="18.75" x14ac:dyDescent="0.4"/>
  <cols>
    <col min="2" max="2" width="14.75" customWidth="1"/>
    <col min="3" max="3" width="9.625" customWidth="1"/>
    <col min="5" max="5" width="12" customWidth="1"/>
    <col min="7" max="7" width="10" customWidth="1"/>
  </cols>
  <sheetData>
    <row r="1" spans="1:8" x14ac:dyDescent="0.4">
      <c r="A1" t="s">
        <v>60</v>
      </c>
      <c r="C1" t="s">
        <v>384</v>
      </c>
      <c r="D1" t="s">
        <v>385</v>
      </c>
      <c r="F1" t="s">
        <v>386</v>
      </c>
      <c r="G1" t="s">
        <v>387</v>
      </c>
    </row>
    <row r="2" spans="1:8" x14ac:dyDescent="0.4">
      <c r="A2">
        <f>PI()</f>
        <v>3.1415926535897931</v>
      </c>
      <c r="D2">
        <f>ROUND((A8/(0.2082*A6))^(1/3),2)</f>
        <v>19.39</v>
      </c>
      <c r="G2">
        <f>ROUND(((5*A10)/A6)^(1/3),2)</f>
        <v>29.21</v>
      </c>
    </row>
    <row r="3" spans="1:8" x14ac:dyDescent="0.4">
      <c r="A3" t="s">
        <v>388</v>
      </c>
      <c r="D3" t="s">
        <v>389</v>
      </c>
      <c r="E3" t="str">
        <f>B17</f>
        <v>カラー(表8.6)</v>
      </c>
      <c r="G3" t="s">
        <v>389</v>
      </c>
      <c r="H3" t="s">
        <v>390</v>
      </c>
    </row>
    <row r="4" spans="1:8" x14ac:dyDescent="0.4">
      <c r="A4">
        <v>500</v>
      </c>
      <c r="D4">
        <f>A16*2</f>
        <v>60</v>
      </c>
      <c r="E4" t="s">
        <v>74</v>
      </c>
      <c r="G4">
        <f>A28*2</f>
        <v>60</v>
      </c>
      <c r="H4" t="s">
        <v>74</v>
      </c>
    </row>
    <row r="5" spans="1:8" x14ac:dyDescent="0.4">
      <c r="A5" t="s">
        <v>391</v>
      </c>
    </row>
    <row r="6" spans="1:8" x14ac:dyDescent="0.4">
      <c r="A6">
        <v>63</v>
      </c>
    </row>
    <row r="7" spans="1:8" x14ac:dyDescent="0.4">
      <c r="A7" t="s">
        <v>221</v>
      </c>
    </row>
    <row r="8" spans="1:8" x14ac:dyDescent="0.4">
      <c r="A8" s="9">
        <f>'4,5章'!Q6</f>
        <v>95550</v>
      </c>
      <c r="B8" t="s">
        <v>392</v>
      </c>
    </row>
    <row r="9" spans="1:8" x14ac:dyDescent="0.4">
      <c r="A9" t="s">
        <v>226</v>
      </c>
    </row>
    <row r="10" spans="1:8" x14ac:dyDescent="0.4">
      <c r="A10" s="9">
        <f>'4,5章'!Q8</f>
        <v>313950</v>
      </c>
      <c r="B10" t="str">
        <f>B8</f>
        <v>5章5.3節</v>
      </c>
    </row>
    <row r="11" spans="1:8" x14ac:dyDescent="0.4">
      <c r="A11" t="s">
        <v>385</v>
      </c>
    </row>
    <row r="12" spans="1:8" x14ac:dyDescent="0.4">
      <c r="A12" s="9">
        <f>自動化シート!H106</f>
        <v>22</v>
      </c>
      <c r="B12" t="s">
        <v>393</v>
      </c>
    </row>
    <row r="13" spans="1:8" x14ac:dyDescent="0.4">
      <c r="A13" t="s">
        <v>22</v>
      </c>
    </row>
    <row r="14" spans="1:8" x14ac:dyDescent="0.4">
      <c r="A14">
        <f>自動化シート!J106</f>
        <v>30</v>
      </c>
      <c r="B14" t="s">
        <v>394</v>
      </c>
    </row>
    <row r="15" spans="1:8" x14ac:dyDescent="0.4">
      <c r="A15" t="s">
        <v>395</v>
      </c>
    </row>
    <row r="16" spans="1:8" x14ac:dyDescent="0.4">
      <c r="A16" s="9">
        <f>自動化シート!H117</f>
        <v>30</v>
      </c>
      <c r="B16" t="s">
        <v>396</v>
      </c>
    </row>
    <row r="17" spans="1:2" x14ac:dyDescent="0.4">
      <c r="A17" t="str">
        <f>D3</f>
        <v>外径</v>
      </c>
      <c r="B17" t="s">
        <v>390</v>
      </c>
    </row>
    <row r="18" spans="1:2" x14ac:dyDescent="0.4">
      <c r="A18" s="9">
        <f>D4</f>
        <v>60</v>
      </c>
      <c r="B18" t="s">
        <v>59</v>
      </c>
    </row>
    <row r="19" spans="1:2" x14ac:dyDescent="0.4">
      <c r="A19" t="s">
        <v>397</v>
      </c>
      <c r="B19" t="str">
        <f>B17</f>
        <v>カラー(表8.6)</v>
      </c>
    </row>
    <row r="20" spans="1:2" x14ac:dyDescent="0.4">
      <c r="A20" s="9">
        <f>自動化シート!U68</f>
        <v>16</v>
      </c>
    </row>
    <row r="21" spans="1:2" x14ac:dyDescent="0.4">
      <c r="A21" t="s">
        <v>398</v>
      </c>
      <c r="B21" t="s">
        <v>399</v>
      </c>
    </row>
    <row r="22" spans="1:2" x14ac:dyDescent="0.4">
      <c r="A22" t="str">
        <f>自動化シート!V68</f>
        <v>M8</v>
      </c>
    </row>
    <row r="23" spans="1:2" x14ac:dyDescent="0.4">
      <c r="A23" t="s">
        <v>16</v>
      </c>
    </row>
    <row r="24" spans="1:2" x14ac:dyDescent="0.4">
      <c r="A24" s="9">
        <f>自動化シート!S75</f>
        <v>10</v>
      </c>
      <c r="B24" t="s">
        <v>400</v>
      </c>
    </row>
    <row r="25" spans="1:2" x14ac:dyDescent="0.4">
      <c r="A25" t="s">
        <v>78</v>
      </c>
    </row>
    <row r="26" spans="1:2" x14ac:dyDescent="0.4">
      <c r="A26" s="9">
        <f>自動化シート!T75</f>
        <v>8</v>
      </c>
      <c r="B26" t="str">
        <f>B24</f>
        <v>ハンドル軸キー</v>
      </c>
    </row>
    <row r="27" spans="1:2" x14ac:dyDescent="0.4">
      <c r="A27" t="str">
        <f>G1</f>
        <v>Ds2</v>
      </c>
    </row>
    <row r="28" spans="1:2" x14ac:dyDescent="0.4">
      <c r="A28" s="9">
        <f>自動化シート!L117</f>
        <v>30</v>
      </c>
      <c r="B28" t="s">
        <v>401</v>
      </c>
    </row>
    <row r="29" spans="1:2" x14ac:dyDescent="0.4">
      <c r="A29" t="str">
        <f>G3</f>
        <v>外径</v>
      </c>
      <c r="B29" t="str">
        <f>H3</f>
        <v>カラー(表8.6)</v>
      </c>
    </row>
    <row r="30" spans="1:2" x14ac:dyDescent="0.4">
      <c r="A30" s="9">
        <f>G4</f>
        <v>60</v>
      </c>
      <c r="B30" t="s">
        <v>59</v>
      </c>
    </row>
    <row r="31" spans="1:2" x14ac:dyDescent="0.4">
      <c r="A31" t="s">
        <v>397</v>
      </c>
      <c r="B31" t="str">
        <f>H3</f>
        <v>カラー(表8.6)</v>
      </c>
    </row>
    <row r="32" spans="1:2" x14ac:dyDescent="0.4">
      <c r="A32" s="9">
        <f>自動化シート!U72</f>
        <v>16</v>
      </c>
    </row>
    <row r="33" spans="1:2" x14ac:dyDescent="0.4">
      <c r="A33" t="s">
        <v>398</v>
      </c>
      <c r="B33" t="s">
        <v>399</v>
      </c>
    </row>
    <row r="34" spans="1:2" x14ac:dyDescent="0.4">
      <c r="A34" t="str">
        <f>自動化シート!V72</f>
        <v>M8</v>
      </c>
    </row>
    <row r="35" spans="1:2" x14ac:dyDescent="0.4">
      <c r="A35" t="s">
        <v>16</v>
      </c>
    </row>
    <row r="36" spans="1:2" x14ac:dyDescent="0.4">
      <c r="A36" s="9">
        <f>自動化シート!X75</f>
        <v>10</v>
      </c>
      <c r="B36" t="s">
        <v>402</v>
      </c>
    </row>
    <row r="37" spans="1:2" x14ac:dyDescent="0.4">
      <c r="A37" t="s">
        <v>78</v>
      </c>
    </row>
    <row r="38" spans="1:2" x14ac:dyDescent="0.4">
      <c r="A38" s="9">
        <f>自動化シート!Y75</f>
        <v>8</v>
      </c>
      <c r="B38" t="str">
        <f>B36</f>
        <v>中間軸キー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1"/>
  <sheetViews>
    <sheetView topLeftCell="A14" workbookViewId="0">
      <selection activeCell="A36" sqref="A36"/>
    </sheetView>
  </sheetViews>
  <sheetFormatPr defaultRowHeight="18.75" x14ac:dyDescent="0.4"/>
  <cols>
    <col min="1" max="1" width="11.75" customWidth="1"/>
    <col min="2" max="2" width="31.875" customWidth="1"/>
    <col min="3" max="3" width="9.625" customWidth="1"/>
  </cols>
  <sheetData>
    <row r="1" spans="1:18" x14ac:dyDescent="0.4">
      <c r="A1" t="s">
        <v>403</v>
      </c>
      <c r="C1" t="s">
        <v>404</v>
      </c>
      <c r="D1" t="s">
        <v>405</v>
      </c>
      <c r="F1" t="s">
        <v>192</v>
      </c>
      <c r="G1" t="s">
        <v>406</v>
      </c>
      <c r="I1" t="s">
        <v>407</v>
      </c>
      <c r="J1" t="s">
        <v>326</v>
      </c>
      <c r="L1" t="s">
        <v>408</v>
      </c>
      <c r="M1" t="s">
        <v>409</v>
      </c>
      <c r="P1" t="s">
        <v>410</v>
      </c>
      <c r="R1" t="s">
        <v>411</v>
      </c>
    </row>
    <row r="2" spans="1:18" x14ac:dyDescent="0.4">
      <c r="A2">
        <f>自重!G2+(自重!G8/2)</f>
        <v>3828.5</v>
      </c>
      <c r="D2">
        <f>ROUND((1000*A4*A6/2)/(A10*A8/2),0)</f>
        <v>4989</v>
      </c>
      <c r="G2">
        <f>(A24+A26)/2</f>
        <v>240</v>
      </c>
      <c r="J2">
        <f>D15+A30</f>
        <v>16.060000000000002</v>
      </c>
      <c r="K2" t="s">
        <v>148</v>
      </c>
      <c r="M2">
        <f>ROUND((J9*A34)/(A32+A34),0)</f>
        <v>20655</v>
      </c>
      <c r="P2">
        <f>G13</f>
        <v>17559</v>
      </c>
      <c r="R2">
        <f>ROUND(SQRT(((A2^2)+(P2^2)-(2*A2*P2*COS(P4)))),0)</f>
        <v>20360</v>
      </c>
    </row>
    <row r="3" spans="1:18" x14ac:dyDescent="0.4">
      <c r="A3" t="s">
        <v>41</v>
      </c>
      <c r="D3" t="s">
        <v>412</v>
      </c>
      <c r="G3" t="s">
        <v>413</v>
      </c>
      <c r="J3" t="s">
        <v>414</v>
      </c>
      <c r="M3" t="s">
        <v>415</v>
      </c>
      <c r="P3" t="s">
        <v>416</v>
      </c>
      <c r="R3" t="s">
        <v>417</v>
      </c>
    </row>
    <row r="4" spans="1:18" x14ac:dyDescent="0.4">
      <c r="A4" s="9">
        <f>'3章'!D17</f>
        <v>12.25</v>
      </c>
      <c r="B4" t="s">
        <v>83</v>
      </c>
      <c r="D4">
        <f>ROUND(D2/(COS(A13)),0)</f>
        <v>5309</v>
      </c>
      <c r="G4">
        <f>(A24+A8)/2</f>
        <v>308</v>
      </c>
      <c r="H4" s="3" t="s">
        <v>418</v>
      </c>
      <c r="J4">
        <f>90+J2</f>
        <v>106.06</v>
      </c>
      <c r="K4" t="s">
        <v>148</v>
      </c>
      <c r="M4">
        <f>M2*A32</f>
        <v>2963992.5</v>
      </c>
      <c r="P4">
        <f>RADIANS((G11+90))</f>
        <v>2.3200661746760622</v>
      </c>
      <c r="Q4" t="s">
        <v>419</v>
      </c>
      <c r="R4">
        <f>ROUND(SQRT(((A2^2)+(J7^2)-(2*A2*J7*COS(P6)))),0)</f>
        <v>22881</v>
      </c>
    </row>
    <row r="5" spans="1:18" x14ac:dyDescent="0.4">
      <c r="A5" t="s">
        <v>11</v>
      </c>
      <c r="D5" t="s">
        <v>420</v>
      </c>
      <c r="G5" t="s">
        <v>421</v>
      </c>
      <c r="J5">
        <f>RADIANS(J4)</f>
        <v>1.851096204665186</v>
      </c>
      <c r="K5" t="s">
        <v>149</v>
      </c>
      <c r="L5" t="s">
        <v>422</v>
      </c>
      <c r="M5" t="s">
        <v>423</v>
      </c>
      <c r="P5" t="s">
        <v>424</v>
      </c>
    </row>
    <row r="6" spans="1:18" x14ac:dyDescent="0.4">
      <c r="A6" s="9">
        <f>'3章'!A4</f>
        <v>195</v>
      </c>
      <c r="B6" t="s">
        <v>158</v>
      </c>
      <c r="D6">
        <f>ROUND(D2*TAN(A13),0)</f>
        <v>1816</v>
      </c>
      <c r="G6">
        <f>ACOS(((G4^2)+(G4^2)-(G2^2))/(2*G4*G4))</f>
        <v>0.80041703159749444</v>
      </c>
      <c r="H6" t="s">
        <v>149</v>
      </c>
      <c r="J6" t="s">
        <v>425</v>
      </c>
      <c r="M6">
        <f>ROUND(((10/A28)*M4)^(1/3),2)</f>
        <v>53.42</v>
      </c>
      <c r="N6" t="s">
        <v>74</v>
      </c>
      <c r="P6">
        <f>RADIANS(90+'例題7.6~7.8'!A2)</f>
        <v>3.6651914291880923</v>
      </c>
      <c r="Q6" t="s">
        <v>419</v>
      </c>
    </row>
    <row r="7" spans="1:18" x14ac:dyDescent="0.4">
      <c r="A7" t="s">
        <v>72</v>
      </c>
      <c r="D7" t="s">
        <v>426</v>
      </c>
      <c r="G7">
        <f>ROUND(DEGREES(G6),2)</f>
        <v>45.86</v>
      </c>
      <c r="H7" t="s">
        <v>148</v>
      </c>
      <c r="J7">
        <f>D10+(A4*1000)</f>
        <v>19485</v>
      </c>
    </row>
    <row r="8" spans="1:18" x14ac:dyDescent="0.4">
      <c r="A8" s="9">
        <f>'4,5章'!X2</f>
        <v>504</v>
      </c>
      <c r="B8" t="s">
        <v>427</v>
      </c>
      <c r="D8">
        <f>360-A15</f>
        <v>120</v>
      </c>
      <c r="E8" t="s">
        <v>428</v>
      </c>
      <c r="G8" t="s">
        <v>429</v>
      </c>
      <c r="J8" t="s">
        <v>430</v>
      </c>
    </row>
    <row r="9" spans="1:18" x14ac:dyDescent="0.4">
      <c r="A9" t="s">
        <v>100</v>
      </c>
      <c r="C9" s="3" t="s">
        <v>431</v>
      </c>
      <c r="D9" t="s">
        <v>174</v>
      </c>
      <c r="G9">
        <f>G7/2</f>
        <v>22.93</v>
      </c>
      <c r="H9" t="s">
        <v>148</v>
      </c>
      <c r="J9">
        <f>R4</f>
        <v>22881</v>
      </c>
      <c r="K9" t="s">
        <v>432</v>
      </c>
    </row>
    <row r="10" spans="1:18" x14ac:dyDescent="0.4">
      <c r="A10" s="9">
        <v>0.95</v>
      </c>
      <c r="D10">
        <f>ROUND(SQRT(((A17*1000)^2)+((A19*1000)^2)-(2*A17*A19*COS(A22))),0)</f>
        <v>7235</v>
      </c>
      <c r="G10" t="s">
        <v>433</v>
      </c>
    </row>
    <row r="11" spans="1:18" x14ac:dyDescent="0.4">
      <c r="A11" t="s">
        <v>434</v>
      </c>
      <c r="D11" t="s">
        <v>435</v>
      </c>
      <c r="G11">
        <f>G9+A12</f>
        <v>42.93</v>
      </c>
      <c r="H11" t="s">
        <v>148</v>
      </c>
    </row>
    <row r="12" spans="1:18" x14ac:dyDescent="0.4">
      <c r="A12" s="9">
        <v>20</v>
      </c>
      <c r="B12" t="s">
        <v>436</v>
      </c>
      <c r="D12">
        <f>ROUND((A19*1000*SIN(A22))/D10,4)</f>
        <v>0.14019999999999999</v>
      </c>
      <c r="G12" t="s">
        <v>437</v>
      </c>
    </row>
    <row r="13" spans="1:18" x14ac:dyDescent="0.4">
      <c r="A13">
        <f>RADIANS(A12)</f>
        <v>0.3490658503988659</v>
      </c>
      <c r="B13" t="s">
        <v>438</v>
      </c>
      <c r="D13" t="s">
        <v>439</v>
      </c>
      <c r="G13">
        <f>D4+(A4*1000)</f>
        <v>17559</v>
      </c>
    </row>
    <row r="14" spans="1:18" x14ac:dyDescent="0.4">
      <c r="A14" t="s">
        <v>229</v>
      </c>
      <c r="D14">
        <f>ASIN(D12)</f>
        <v>0.14066340688650744</v>
      </c>
      <c r="E14" t="s">
        <v>149</v>
      </c>
      <c r="G14" t="s">
        <v>430</v>
      </c>
    </row>
    <row r="15" spans="1:18" x14ac:dyDescent="0.4">
      <c r="A15" s="9">
        <f>'例題7.1~7.4'!A10</f>
        <v>240</v>
      </c>
      <c r="B15" t="s">
        <v>440</v>
      </c>
      <c r="D15">
        <f>ROUND(DEGREES(D14),2)</f>
        <v>8.06</v>
      </c>
      <c r="E15" t="s">
        <v>148</v>
      </c>
      <c r="G15">
        <f>R2</f>
        <v>20360</v>
      </c>
      <c r="H15" t="s">
        <v>441</v>
      </c>
    </row>
    <row r="16" spans="1:18" x14ac:dyDescent="0.4">
      <c r="A16" t="s">
        <v>221</v>
      </c>
      <c r="D16" t="s">
        <v>442</v>
      </c>
      <c r="G16" t="s">
        <v>443</v>
      </c>
    </row>
    <row r="17" spans="1:8" x14ac:dyDescent="0.4">
      <c r="A17" s="9">
        <f>'例題7.1~7.4'!D6</f>
        <v>7.14</v>
      </c>
      <c r="B17" t="s">
        <v>444</v>
      </c>
      <c r="D17">
        <f>180-(A21+D15)</f>
        <v>51.94</v>
      </c>
      <c r="E17" t="s">
        <v>148</v>
      </c>
      <c r="G17">
        <f>90+G11</f>
        <v>132.93</v>
      </c>
      <c r="H17" t="s">
        <v>148</v>
      </c>
    </row>
    <row r="18" spans="1:8" x14ac:dyDescent="0.4">
      <c r="A18" t="s">
        <v>226</v>
      </c>
      <c r="G18">
        <f>RADIANS(G17)</f>
        <v>2.3200661746760622</v>
      </c>
      <c r="H18" t="s">
        <v>149</v>
      </c>
    </row>
    <row r="19" spans="1:8" x14ac:dyDescent="0.4">
      <c r="A19" s="9">
        <f>'例題7.1~7.4'!D8</f>
        <v>1.171</v>
      </c>
      <c r="B19" t="str">
        <f>B17</f>
        <v>7章</v>
      </c>
    </row>
    <row r="20" spans="1:8" x14ac:dyDescent="0.4">
      <c r="A20" t="s">
        <v>426</v>
      </c>
      <c r="C20" t="s">
        <v>445</v>
      </c>
      <c r="D20" t="s">
        <v>446</v>
      </c>
    </row>
    <row r="21" spans="1:8" x14ac:dyDescent="0.4">
      <c r="A21">
        <f>360-A15</f>
        <v>120</v>
      </c>
      <c r="B21" t="s">
        <v>447</v>
      </c>
      <c r="D21">
        <f>自動化シート!R98</f>
        <v>37.5</v>
      </c>
    </row>
    <row r="22" spans="1:8" x14ac:dyDescent="0.4">
      <c r="A22">
        <f>RADIANS(A21)</f>
        <v>2.0943951023931953</v>
      </c>
      <c r="B22" t="s">
        <v>448</v>
      </c>
      <c r="D22" t="s">
        <v>9</v>
      </c>
    </row>
    <row r="23" spans="1:8" x14ac:dyDescent="0.4">
      <c r="A23" t="s">
        <v>69</v>
      </c>
      <c r="D23">
        <f>自動化シート!S98</f>
        <v>38</v>
      </c>
    </row>
    <row r="24" spans="1:8" x14ac:dyDescent="0.4">
      <c r="A24" s="9">
        <f>'4,5章'!U2</f>
        <v>112</v>
      </c>
      <c r="B24" t="s">
        <v>449</v>
      </c>
      <c r="D24" t="s">
        <v>313</v>
      </c>
    </row>
    <row r="25" spans="1:8" x14ac:dyDescent="0.4">
      <c r="A25" t="s">
        <v>70</v>
      </c>
      <c r="D25">
        <f>自動化シート!T98</f>
        <v>98</v>
      </c>
    </row>
    <row r="26" spans="1:8" x14ac:dyDescent="0.4">
      <c r="A26" s="9">
        <f>'4,5章'!V2</f>
        <v>368</v>
      </c>
      <c r="B26" t="str">
        <f>B24</f>
        <v>歯車</v>
      </c>
      <c r="D26" t="s">
        <v>108</v>
      </c>
    </row>
    <row r="27" spans="1:8" x14ac:dyDescent="0.4">
      <c r="A27" t="s">
        <v>77</v>
      </c>
      <c r="D27">
        <f>自動化シート!U98</f>
        <v>60</v>
      </c>
    </row>
    <row r="28" spans="1:8" x14ac:dyDescent="0.4">
      <c r="A28">
        <f>540*0.36</f>
        <v>194.4</v>
      </c>
      <c r="D28" t="s">
        <v>17</v>
      </c>
    </row>
    <row r="29" spans="1:8" x14ac:dyDescent="0.4">
      <c r="A29" t="s">
        <v>450</v>
      </c>
      <c r="D29">
        <f>自動化シート!V98</f>
        <v>17</v>
      </c>
    </row>
    <row r="30" spans="1:8" x14ac:dyDescent="0.4">
      <c r="A30" s="9">
        <f>'例題7.6~7.8'!H18</f>
        <v>8</v>
      </c>
      <c r="B30" t="s">
        <v>328</v>
      </c>
      <c r="D30" t="s">
        <v>451</v>
      </c>
    </row>
    <row r="31" spans="1:8" x14ac:dyDescent="0.4">
      <c r="A31" t="s">
        <v>205</v>
      </c>
      <c r="D31">
        <f>自動化シート!W98</f>
        <v>10</v>
      </c>
    </row>
    <row r="32" spans="1:8" x14ac:dyDescent="0.4">
      <c r="A32" s="9">
        <f>'例題7.1~7.4'!A16+20+'4,5章'!T10/2+10</f>
        <v>143.5</v>
      </c>
      <c r="B32" t="s">
        <v>452</v>
      </c>
      <c r="D32" t="s">
        <v>453</v>
      </c>
    </row>
    <row r="33" spans="1:4" x14ac:dyDescent="0.4">
      <c r="A33" t="s">
        <v>16</v>
      </c>
      <c r="D33">
        <f>自動化シート!X98</f>
        <v>12</v>
      </c>
    </row>
    <row r="34" spans="1:4" x14ac:dyDescent="0.4">
      <c r="A34" s="9">
        <f>'4,5章'!T10/2+'3章'!A12+'3章'!A46+'6章'!A22+10</f>
        <v>1331.5</v>
      </c>
      <c r="B34" t="s">
        <v>454</v>
      </c>
      <c r="D34" t="s">
        <v>325</v>
      </c>
    </row>
    <row r="35" spans="1:4" x14ac:dyDescent="0.4">
      <c r="A35" t="s">
        <v>430</v>
      </c>
      <c r="D35">
        <f>自動化シート!Y98</f>
        <v>10</v>
      </c>
    </row>
    <row r="36" spans="1:4" x14ac:dyDescent="0.4">
      <c r="A36" s="9">
        <f>MAX(G15,J9)</f>
        <v>22881</v>
      </c>
      <c r="B36" t="s">
        <v>455</v>
      </c>
      <c r="D36" t="s">
        <v>68</v>
      </c>
    </row>
    <row r="37" spans="1:4" x14ac:dyDescent="0.4">
      <c r="A37" t="s">
        <v>456</v>
      </c>
      <c r="D37">
        <f>自動化シート!Z98</f>
        <v>8.8000000000000007</v>
      </c>
    </row>
    <row r="38" spans="1:4" x14ac:dyDescent="0.4">
      <c r="A38" s="9">
        <f>自動化シート!P117</f>
        <v>55</v>
      </c>
      <c r="B38" t="s">
        <v>457</v>
      </c>
      <c r="D38" t="s">
        <v>458</v>
      </c>
    </row>
    <row r="39" spans="1:4" x14ac:dyDescent="0.4">
      <c r="A39" t="s">
        <v>459</v>
      </c>
      <c r="D39">
        <f>自動化シート!AA98</f>
        <v>16</v>
      </c>
    </row>
    <row r="40" spans="1:4" x14ac:dyDescent="0.4">
      <c r="A40">
        <f>A32+A34</f>
        <v>1475</v>
      </c>
      <c r="B40" t="s">
        <v>460</v>
      </c>
      <c r="D40" t="s">
        <v>461</v>
      </c>
    </row>
    <row r="41" spans="1:4" x14ac:dyDescent="0.4">
      <c r="D41">
        <f>自動化シート!AB98</f>
        <v>28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workbookViewId="0">
      <selection activeCell="H23" sqref="H23"/>
    </sheetView>
  </sheetViews>
  <sheetFormatPr defaultRowHeight="18.75" x14ac:dyDescent="0.4"/>
  <cols>
    <col min="1" max="1" width="10" customWidth="1"/>
    <col min="2" max="2" width="17.625" customWidth="1"/>
    <col min="3" max="3" width="14.125" customWidth="1"/>
    <col min="8" max="8" width="40.25" customWidth="1"/>
    <col min="9" max="9" width="44.25" customWidth="1"/>
    <col min="10" max="10" width="27.125" customWidth="1"/>
  </cols>
  <sheetData>
    <row r="1" spans="1:11" x14ac:dyDescent="0.4">
      <c r="A1" t="s">
        <v>462</v>
      </c>
      <c r="C1" t="s">
        <v>463</v>
      </c>
      <c r="G1" t="s">
        <v>464</v>
      </c>
      <c r="J1" t="s">
        <v>465</v>
      </c>
    </row>
    <row r="2" spans="1:11" x14ac:dyDescent="0.4">
      <c r="A2">
        <v>9.8066499999999994</v>
      </c>
      <c r="C2" s="9">
        <f>ROUND(J2+J4,0)</f>
        <v>26763856</v>
      </c>
      <c r="D2" t="s">
        <v>466</v>
      </c>
      <c r="G2">
        <f>ROUND(A2*A4*A6*C3,0)</f>
        <v>2457</v>
      </c>
      <c r="J2">
        <f>ROUND((PI()*0.25*((A8^2)-('例題7.6~7.8'!A10^2)))*('例題7.1~7.4'!A16+20),0)</f>
        <v>12534955</v>
      </c>
      <c r="K2" t="s">
        <v>467</v>
      </c>
    </row>
    <row r="3" spans="1:11" ht="16.5" customHeight="1" x14ac:dyDescent="0.4">
      <c r="A3" t="s">
        <v>468</v>
      </c>
      <c r="B3" s="138" t="s">
        <v>469</v>
      </c>
      <c r="C3">
        <f>C2/(10^3)</f>
        <v>26763.856</v>
      </c>
      <c r="D3" t="s">
        <v>470</v>
      </c>
      <c r="J3" t="s">
        <v>471</v>
      </c>
    </row>
    <row r="4" spans="1:11" ht="16.5" customHeight="1" x14ac:dyDescent="0.4">
      <c r="A4">
        <v>7.8</v>
      </c>
      <c r="B4" s="139"/>
      <c r="J4">
        <f>ROUND(((A10/2)^2)*PI()*67,0)</f>
        <v>14228901</v>
      </c>
    </row>
    <row r="5" spans="1:11" x14ac:dyDescent="0.4">
      <c r="A5" t="s">
        <v>472</v>
      </c>
      <c r="C5" t="s">
        <v>473</v>
      </c>
      <c r="J5" t="s">
        <v>474</v>
      </c>
    </row>
    <row r="6" spans="1:11" x14ac:dyDescent="0.4">
      <c r="A6">
        <f>1.2*10^(-3)</f>
        <v>1.1999999999999999E-3</v>
      </c>
      <c r="J6">
        <f>ROUND((A12^2)*0.25*PI()*'3章'!D25,0)</f>
        <v>1402760</v>
      </c>
    </row>
    <row r="7" spans="1:11" x14ac:dyDescent="0.4">
      <c r="A7" t="s">
        <v>475</v>
      </c>
      <c r="C7" t="s">
        <v>476</v>
      </c>
      <c r="G7" t="s">
        <v>477</v>
      </c>
      <c r="J7" t="s">
        <v>478</v>
      </c>
    </row>
    <row r="8" spans="1:11" x14ac:dyDescent="0.4">
      <c r="A8">
        <f>'例題7.1~7.4'!A6</f>
        <v>400</v>
      </c>
      <c r="C8" s="9">
        <f>ROUND(J6+J8+J10+J12,0)</f>
        <v>29878131</v>
      </c>
      <c r="D8" t="str">
        <f>D2</f>
        <v>mm^3</v>
      </c>
      <c r="G8">
        <f>ROUND(A2*C9*A4*A6,0)</f>
        <v>2743</v>
      </c>
      <c r="J8">
        <f>ROUND(((A14^2)-((A14-A16)^2))*PI()*'3章'!A12,0)</f>
        <v>26786161</v>
      </c>
    </row>
    <row r="9" spans="1:11" x14ac:dyDescent="0.4">
      <c r="A9" t="s">
        <v>479</v>
      </c>
      <c r="C9">
        <f>C8/(10^3)</f>
        <v>29878.131000000001</v>
      </c>
      <c r="D9" t="str">
        <f>D3</f>
        <v>cm^3</v>
      </c>
      <c r="H9" t="s">
        <v>480</v>
      </c>
      <c r="J9" t="s">
        <v>481</v>
      </c>
    </row>
    <row r="10" spans="1:11" x14ac:dyDescent="0.4">
      <c r="A10">
        <f>'4,5章'!X4</f>
        <v>520</v>
      </c>
      <c r="B10" s="39"/>
      <c r="J10">
        <f>ROUND((A18^2)*0.25*PI()*'3章'!D25,0)</f>
        <v>1007824</v>
      </c>
    </row>
    <row r="11" spans="1:11" x14ac:dyDescent="0.4">
      <c r="A11" t="s">
        <v>482</v>
      </c>
      <c r="C11" t="s">
        <v>483</v>
      </c>
      <c r="J11" t="s">
        <v>484</v>
      </c>
    </row>
    <row r="12" spans="1:11" x14ac:dyDescent="0.4">
      <c r="A12">
        <f>'3章'!A44</f>
        <v>315</v>
      </c>
      <c r="J12">
        <f>ROUND(((A20^2)-((A20-'6章'!E16)^2))*PI()*'6章'!A22,0)</f>
        <v>681386</v>
      </c>
    </row>
    <row r="13" spans="1:11" x14ac:dyDescent="0.4">
      <c r="A13" t="s">
        <v>485</v>
      </c>
      <c r="C13" t="s">
        <v>486</v>
      </c>
    </row>
    <row r="14" spans="1:11" x14ac:dyDescent="0.4">
      <c r="A14">
        <f>'3章'!A4/2</f>
        <v>97.5</v>
      </c>
      <c r="C14" t="s">
        <v>487</v>
      </c>
      <c r="G14" t="s">
        <v>464</v>
      </c>
    </row>
    <row r="15" spans="1:11" x14ac:dyDescent="0.4">
      <c r="A15" t="s">
        <v>488</v>
      </c>
      <c r="C15" s="9">
        <v>14549580.1</v>
      </c>
      <c r="D15" t="s">
        <v>466</v>
      </c>
      <c r="G15">
        <f>ROUND(A2*A4*A6*C16,0)</f>
        <v>1336</v>
      </c>
    </row>
    <row r="16" spans="1:11" x14ac:dyDescent="0.4">
      <c r="A16">
        <f>'3章'!G8</f>
        <v>48.5</v>
      </c>
      <c r="C16">
        <f>C15/(10^3)</f>
        <v>14549.580099999999</v>
      </c>
      <c r="D16" t="s">
        <v>470</v>
      </c>
    </row>
    <row r="17" spans="1:7" x14ac:dyDescent="0.4">
      <c r="A17" t="s">
        <v>489</v>
      </c>
    </row>
    <row r="18" spans="1:7" x14ac:dyDescent="0.4">
      <c r="A18">
        <f>'3章'!D21</f>
        <v>267</v>
      </c>
      <c r="C18" t="s">
        <v>490</v>
      </c>
      <c r="G18" t="str">
        <f>G7</f>
        <v>WD  (N)</v>
      </c>
    </row>
    <row r="19" spans="1:7" x14ac:dyDescent="0.4">
      <c r="A19" t="s">
        <v>491</v>
      </c>
      <c r="C19" s="9">
        <v>19582310.329999998</v>
      </c>
      <c r="D19" t="str">
        <f>D15</f>
        <v>mm^3</v>
      </c>
      <c r="G19">
        <f>ROUND(A2*C20*A4*A6,0)</f>
        <v>1797</v>
      </c>
    </row>
    <row r="20" spans="1:7" x14ac:dyDescent="0.4">
      <c r="A20">
        <f>'6章'!E34/2</f>
        <v>110</v>
      </c>
      <c r="C20">
        <f>C19/(10^3)</f>
        <v>19582.310329999997</v>
      </c>
      <c r="D20" t="str">
        <f>D16</f>
        <v>cm^3</v>
      </c>
    </row>
  </sheetData>
  <mergeCells count="1">
    <mergeCell ref="B3:B4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D7" sqref="D7"/>
    </sheetView>
  </sheetViews>
  <sheetFormatPr defaultRowHeight="18.75" x14ac:dyDescent="0.4"/>
  <sheetData>
    <row r="1" spans="1:4" x14ac:dyDescent="0.4">
      <c r="A1" t="s">
        <v>492</v>
      </c>
      <c r="C1" t="s">
        <v>493</v>
      </c>
    </row>
    <row r="2" spans="1:4" x14ac:dyDescent="0.4">
      <c r="A2">
        <v>117</v>
      </c>
      <c r="C2">
        <f>A4*A6</f>
        <v>47775</v>
      </c>
    </row>
    <row r="3" spans="1:4" x14ac:dyDescent="0.4">
      <c r="A3" t="s">
        <v>494</v>
      </c>
      <c r="C3" t="s">
        <v>495</v>
      </c>
    </row>
    <row r="4" spans="1:4" x14ac:dyDescent="0.4">
      <c r="A4">
        <f>'4,5章'!A2</f>
        <v>325</v>
      </c>
      <c r="C4">
        <f>ROUND(((A10*(A8^2))/6),0)</f>
        <v>8333</v>
      </c>
    </row>
    <row r="5" spans="1:4" x14ac:dyDescent="0.4">
      <c r="A5" t="s">
        <v>496</v>
      </c>
      <c r="C5" t="s">
        <v>492</v>
      </c>
    </row>
    <row r="6" spans="1:4" x14ac:dyDescent="0.4">
      <c r="A6">
        <f>'4,5章'!A6</f>
        <v>147</v>
      </c>
      <c r="C6">
        <f>ROUND(C2/C4,2)</f>
        <v>5.73</v>
      </c>
      <c r="D6" t="s">
        <v>497</v>
      </c>
    </row>
    <row r="7" spans="1:4" x14ac:dyDescent="0.4">
      <c r="A7" t="s">
        <v>498</v>
      </c>
    </row>
    <row r="8" spans="1:4" x14ac:dyDescent="0.4">
      <c r="A8" s="13">
        <v>50</v>
      </c>
      <c r="B8" t="s">
        <v>499</v>
      </c>
    </row>
    <row r="9" spans="1:4" x14ac:dyDescent="0.4">
      <c r="A9" t="s">
        <v>500</v>
      </c>
    </row>
    <row r="10" spans="1:4" x14ac:dyDescent="0.4">
      <c r="A10" s="13">
        <v>20</v>
      </c>
      <c r="B10" t="str">
        <f>B8</f>
        <v>ほぼ確定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C043-D808-4E56-883B-41118991F4C6}">
  <dimension ref="A1:K18"/>
  <sheetViews>
    <sheetView workbookViewId="0">
      <selection activeCell="I20" sqref="I20"/>
    </sheetView>
  </sheetViews>
  <sheetFormatPr defaultRowHeight="18.75" x14ac:dyDescent="0.4"/>
  <cols>
    <col min="10" max="10" width="9.375" bestFit="1" customWidth="1"/>
  </cols>
  <sheetData>
    <row r="1" spans="1:11" x14ac:dyDescent="0.4">
      <c r="A1" t="s">
        <v>395</v>
      </c>
      <c r="C1" t="s">
        <v>501</v>
      </c>
      <c r="D1" t="s">
        <v>502</v>
      </c>
      <c r="F1" t="s">
        <v>503</v>
      </c>
      <c r="G1" t="str">
        <f>D1</f>
        <v>D0</v>
      </c>
      <c r="I1" t="s">
        <v>192</v>
      </c>
      <c r="J1" t="s">
        <v>254</v>
      </c>
    </row>
    <row r="2" spans="1:11" x14ac:dyDescent="0.4">
      <c r="A2">
        <f>'第Ⅰ軸,第Ⅱ軸'!A16</f>
        <v>30</v>
      </c>
      <c r="D2">
        <f>自動化シート!AG78</f>
        <v>65</v>
      </c>
      <c r="G2">
        <f>自動化シート!AG87</f>
        <v>65</v>
      </c>
      <c r="J2">
        <f>ROUND(A2*1.5,0)</f>
        <v>45</v>
      </c>
      <c r="K2" t="s">
        <v>504</v>
      </c>
    </row>
    <row r="3" spans="1:11" x14ac:dyDescent="0.4">
      <c r="A3" t="s">
        <v>387</v>
      </c>
      <c r="D3" t="s">
        <v>22</v>
      </c>
      <c r="G3" t="str">
        <f>D3</f>
        <v>l</v>
      </c>
      <c r="J3">
        <f>A2*2</f>
        <v>60</v>
      </c>
      <c r="K3" t="s">
        <v>505</v>
      </c>
    </row>
    <row r="4" spans="1:11" x14ac:dyDescent="0.4">
      <c r="A4">
        <f>'第Ⅰ軸,第Ⅱ軸'!A28</f>
        <v>30</v>
      </c>
      <c r="D4">
        <f>自動化シート!AH78</f>
        <v>60</v>
      </c>
      <c r="G4">
        <f>自動化シート!AH87</f>
        <v>60</v>
      </c>
      <c r="J4" t="s">
        <v>506</v>
      </c>
    </row>
    <row r="5" spans="1:11" x14ac:dyDescent="0.4">
      <c r="A5" t="s">
        <v>254</v>
      </c>
      <c r="D5" t="s">
        <v>507</v>
      </c>
      <c r="G5" t="str">
        <f>D5</f>
        <v>j</v>
      </c>
      <c r="J5">
        <f>A2+2*J7</f>
        <v>42.8</v>
      </c>
      <c r="K5" t="s">
        <v>74</v>
      </c>
    </row>
    <row r="6" spans="1:11" x14ac:dyDescent="0.4">
      <c r="A6">
        <f>IF(D4&gt;=J3,D4,J3)</f>
        <v>60</v>
      </c>
      <c r="B6" t="s">
        <v>59</v>
      </c>
      <c r="D6">
        <f>自動化シート!AI78</f>
        <v>20</v>
      </c>
      <c r="G6">
        <f>自動化シート!AI87</f>
        <v>20</v>
      </c>
      <c r="J6" t="s">
        <v>508</v>
      </c>
    </row>
    <row r="7" spans="1:11" x14ac:dyDescent="0.4">
      <c r="A7" t="s">
        <v>509</v>
      </c>
      <c r="D7" t="s">
        <v>510</v>
      </c>
      <c r="G7" t="str">
        <f>D7</f>
        <v>a1</v>
      </c>
      <c r="J7">
        <f>ROUND(0.08*A2+4,1)</f>
        <v>6.4</v>
      </c>
    </row>
    <row r="8" spans="1:11" x14ac:dyDescent="0.4">
      <c r="A8">
        <f>ROUNDUP(J5,0)</f>
        <v>43</v>
      </c>
      <c r="B8" t="str">
        <f>B6</f>
        <v>決定値</v>
      </c>
      <c r="D8">
        <f>自動化シート!AJ78</f>
        <v>155</v>
      </c>
      <c r="G8">
        <f>自動化シート!AJ87</f>
        <v>155</v>
      </c>
      <c r="J8" t="s">
        <v>280</v>
      </c>
    </row>
    <row r="9" spans="1:11" x14ac:dyDescent="0.4">
      <c r="A9" t="s">
        <v>254</v>
      </c>
      <c r="D9" t="s">
        <v>511</v>
      </c>
      <c r="G9" t="str">
        <f>D9</f>
        <v>c</v>
      </c>
      <c r="J9">
        <f>ROUND(A4*1.5,0)</f>
        <v>45</v>
      </c>
      <c r="K9" t="s">
        <v>504</v>
      </c>
    </row>
    <row r="10" spans="1:11" x14ac:dyDescent="0.4">
      <c r="A10">
        <f>IF(G4&gt;=J10,G4,J10)</f>
        <v>60</v>
      </c>
      <c r="B10" t="s">
        <v>59</v>
      </c>
      <c r="D10">
        <f>自動化シート!AL78</f>
        <v>20</v>
      </c>
      <c r="G10">
        <f>自動化シート!AL87</f>
        <v>20</v>
      </c>
      <c r="J10">
        <f>A4*2</f>
        <v>60</v>
      </c>
      <c r="K10" t="s">
        <v>505</v>
      </c>
    </row>
    <row r="11" spans="1:11" x14ac:dyDescent="0.4">
      <c r="D11" t="s">
        <v>512</v>
      </c>
      <c r="G11" t="str">
        <f>D11</f>
        <v>g</v>
      </c>
      <c r="J11" t="s">
        <v>513</v>
      </c>
    </row>
    <row r="12" spans="1:11" x14ac:dyDescent="0.4">
      <c r="D12">
        <f>自動化シート!AK78</f>
        <v>35</v>
      </c>
      <c r="G12">
        <f>自動化シート!AK87</f>
        <v>35</v>
      </c>
      <c r="J12">
        <f>A4+2*J14</f>
        <v>42.8</v>
      </c>
      <c r="K12" t="s">
        <v>74</v>
      </c>
    </row>
    <row r="13" spans="1:11" x14ac:dyDescent="0.4">
      <c r="D13" t="s">
        <v>514</v>
      </c>
      <c r="G13" t="str">
        <f>D13</f>
        <v>a2</v>
      </c>
      <c r="J13" t="s">
        <v>515</v>
      </c>
    </row>
    <row r="14" spans="1:11" x14ac:dyDescent="0.4">
      <c r="D14">
        <f>自動化シート!AM78</f>
        <v>120</v>
      </c>
      <c r="G14">
        <f>自動化シート!AM87</f>
        <v>120</v>
      </c>
      <c r="J14">
        <f>ROUND(0.08*A4+4,1)</f>
        <v>6.4</v>
      </c>
    </row>
    <row r="15" spans="1:11" x14ac:dyDescent="0.4">
      <c r="D15" t="s">
        <v>516</v>
      </c>
      <c r="G15" t="str">
        <f>D15</f>
        <v>e0</v>
      </c>
    </row>
    <row r="16" spans="1:11" x14ac:dyDescent="0.4">
      <c r="D16">
        <f>自動化シート!AN78</f>
        <v>14</v>
      </c>
      <c r="G16">
        <f>自動化シート!AN87</f>
        <v>14</v>
      </c>
    </row>
    <row r="17" spans="4:7" x14ac:dyDescent="0.4">
      <c r="D17" t="s">
        <v>295</v>
      </c>
      <c r="G17" t="str">
        <f>D17</f>
        <v>e</v>
      </c>
    </row>
    <row r="18" spans="4:7" x14ac:dyDescent="0.4">
      <c r="D18" t="str">
        <f>自動化シート!AO78</f>
        <v>M12</v>
      </c>
      <c r="G18" t="str">
        <f>自動化シート!AO87</f>
        <v>M12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G20" sqref="G20"/>
    </sheetView>
  </sheetViews>
  <sheetFormatPr defaultRowHeight="18.75" x14ac:dyDescent="0.4"/>
  <sheetData>
    <row r="1" spans="1:4" x14ac:dyDescent="0.4">
      <c r="A1" t="s">
        <v>517</v>
      </c>
      <c r="D1" s="16" t="s">
        <v>459</v>
      </c>
    </row>
    <row r="2" spans="1:4" x14ac:dyDescent="0.4">
      <c r="A2">
        <f>'4,5章'!U6</f>
        <v>92</v>
      </c>
      <c r="D2">
        <f>'4,5章'!T10</f>
        <v>67</v>
      </c>
    </row>
    <row r="3" spans="1:4" x14ac:dyDescent="0.4">
      <c r="A3" t="s">
        <v>518</v>
      </c>
      <c r="D3" t="s">
        <v>519</v>
      </c>
    </row>
    <row r="4" spans="1:4" x14ac:dyDescent="0.4">
      <c r="A4">
        <f>'4,5章'!V6</f>
        <v>348</v>
      </c>
      <c r="D4">
        <f>ROUND(((A2-'第Ⅰ軸,第Ⅱ軸'!A16)/2)-'A歯車&amp;C歯車'!A10,2)</f>
        <v>28.6</v>
      </c>
    </row>
    <row r="5" spans="1:4" x14ac:dyDescent="0.4">
      <c r="A5" t="s">
        <v>520</v>
      </c>
      <c r="D5" t="s">
        <v>521</v>
      </c>
    </row>
    <row r="6" spans="1:4" x14ac:dyDescent="0.4">
      <c r="A6">
        <f>A2</f>
        <v>92</v>
      </c>
      <c r="D6">
        <f>ROUND(((A6-'第Ⅰ軸,第Ⅱ軸'!A28)/2)-'A歯車&amp;C歯車'!A12,2)</f>
        <v>28.6</v>
      </c>
    </row>
    <row r="7" spans="1:4" x14ac:dyDescent="0.4">
      <c r="A7" t="s">
        <v>522</v>
      </c>
      <c r="D7" t="s">
        <v>523</v>
      </c>
    </row>
    <row r="8" spans="1:4" x14ac:dyDescent="0.4">
      <c r="A8">
        <f>'4,5章'!X6</f>
        <v>484</v>
      </c>
      <c r="D8">
        <f>ROUND(0.9*PI()*'4,5章'!A30,1)</f>
        <v>22.6</v>
      </c>
    </row>
    <row r="9" spans="1:4" x14ac:dyDescent="0.4">
      <c r="A9" t="s">
        <v>524</v>
      </c>
    </row>
    <row r="10" spans="1:4" x14ac:dyDescent="0.4">
      <c r="A10" s="9">
        <f>自動化シート!T117</f>
        <v>2.4</v>
      </c>
      <c r="B10" t="s">
        <v>525</v>
      </c>
    </row>
    <row r="11" spans="1:4" x14ac:dyDescent="0.4">
      <c r="A11" t="s">
        <v>526</v>
      </c>
    </row>
    <row r="12" spans="1:4" x14ac:dyDescent="0.4">
      <c r="A12" s="9">
        <f>自動化シート!X117</f>
        <v>2.4</v>
      </c>
      <c r="B12" t="s">
        <v>525</v>
      </c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>
      <selection activeCell="A27" sqref="A27"/>
    </sheetView>
  </sheetViews>
  <sheetFormatPr defaultRowHeight="18.75" x14ac:dyDescent="0.4"/>
  <cols>
    <col min="2" max="2" width="20.375" customWidth="1"/>
    <col min="3" max="3" width="9" customWidth="1"/>
  </cols>
  <sheetData>
    <row r="1" spans="1:9" x14ac:dyDescent="0.4">
      <c r="A1" t="s">
        <v>527</v>
      </c>
      <c r="D1" t="s">
        <v>528</v>
      </c>
      <c r="H1" t="s">
        <v>523</v>
      </c>
    </row>
    <row r="2" spans="1:9" x14ac:dyDescent="0.4">
      <c r="A2" s="9">
        <f>自動化シート!G198</f>
        <v>18</v>
      </c>
      <c r="B2" t="s">
        <v>529</v>
      </c>
      <c r="D2">
        <f>ROUND(0.5*'4,5章'!T2,2)</f>
        <v>12.57</v>
      </c>
      <c r="E2" t="s">
        <v>530</v>
      </c>
      <c r="H2">
        <f>0.5*'第Ⅰ軸,第Ⅱ軸'!A28</f>
        <v>15</v>
      </c>
    </row>
    <row r="3" spans="1:9" x14ac:dyDescent="0.4">
      <c r="A3" t="s">
        <v>531</v>
      </c>
      <c r="D3">
        <f>ROUND(0.7*'4,5章'!T2,2)</f>
        <v>17.59</v>
      </c>
      <c r="E3" t="s">
        <v>532</v>
      </c>
      <c r="H3" t="s">
        <v>533</v>
      </c>
    </row>
    <row r="4" spans="1:9" x14ac:dyDescent="0.4">
      <c r="A4" s="9">
        <f>自動化シート!K198</f>
        <v>12.5</v>
      </c>
      <c r="D4" t="s">
        <v>534</v>
      </c>
      <c r="E4" s="3" t="s">
        <v>535</v>
      </c>
      <c r="H4">
        <f>('第Ⅰ軸,第Ⅱ軸'!A28+B歯車!A20)*2</f>
        <v>64.8</v>
      </c>
    </row>
    <row r="5" spans="1:9" x14ac:dyDescent="0.4">
      <c r="A5" t="s">
        <v>536</v>
      </c>
      <c r="D5">
        <f>D2</f>
        <v>12.57</v>
      </c>
      <c r="H5" t="s">
        <v>459</v>
      </c>
      <c r="I5" t="s">
        <v>537</v>
      </c>
    </row>
    <row r="6" spans="1:9" x14ac:dyDescent="0.4">
      <c r="A6" s="9">
        <v>6</v>
      </c>
      <c r="D6" t="s">
        <v>538</v>
      </c>
      <c r="H6">
        <f>1.2*'第Ⅰ軸,第Ⅱ軸'!A28</f>
        <v>36</v>
      </c>
      <c r="I6" t="s">
        <v>539</v>
      </c>
    </row>
    <row r="7" spans="1:9" x14ac:dyDescent="0.4">
      <c r="A7" t="s">
        <v>493</v>
      </c>
      <c r="D7">
        <f>ROUND((4*A8)/(A6*A10),0)</f>
        <v>2093</v>
      </c>
      <c r="E7" s="17" t="s">
        <v>540</v>
      </c>
      <c r="H7">
        <f>2.2*'第Ⅰ軸,第Ⅱ軸'!A28</f>
        <v>66</v>
      </c>
      <c r="I7" t="s">
        <v>541</v>
      </c>
    </row>
    <row r="8" spans="1:9" x14ac:dyDescent="0.4">
      <c r="A8">
        <f>'4,5章'!Q8</f>
        <v>313950</v>
      </c>
      <c r="D8" t="s">
        <v>542</v>
      </c>
      <c r="E8" s="3"/>
      <c r="H8" t="s">
        <v>459</v>
      </c>
    </row>
    <row r="9" spans="1:9" x14ac:dyDescent="0.4">
      <c r="A9" t="s">
        <v>492</v>
      </c>
      <c r="D9">
        <f>ROUND(2.5*'4,5章'!T2,2)</f>
        <v>62.83</v>
      </c>
      <c r="E9" t="s">
        <v>543</v>
      </c>
      <c r="H9">
        <f>2*'4,5章'!T10+B歯車!A26</f>
        <v>234</v>
      </c>
      <c r="I9" t="s">
        <v>544</v>
      </c>
    </row>
    <row r="10" spans="1:9" x14ac:dyDescent="0.4">
      <c r="A10">
        <v>100</v>
      </c>
      <c r="D10" t="s">
        <v>545</v>
      </c>
      <c r="H10" t="s">
        <v>546</v>
      </c>
    </row>
    <row r="11" spans="1:9" x14ac:dyDescent="0.4">
      <c r="A11" t="s">
        <v>542</v>
      </c>
      <c r="D11">
        <f>ROUND(A12*4/5,2)</f>
        <v>48</v>
      </c>
      <c r="E11" t="s">
        <v>543</v>
      </c>
      <c r="H11">
        <f>A26+'4,5章'!T10</f>
        <v>167</v>
      </c>
      <c r="I11" s="3" t="s">
        <v>547</v>
      </c>
    </row>
    <row r="12" spans="1:9" x14ac:dyDescent="0.4">
      <c r="A12" s="9">
        <f>自動化シート!C343</f>
        <v>60</v>
      </c>
      <c r="B12" t="s">
        <v>548</v>
      </c>
      <c r="D12" t="s">
        <v>549</v>
      </c>
      <c r="H12" t="s">
        <v>550</v>
      </c>
    </row>
    <row r="13" spans="1:9" x14ac:dyDescent="0.4">
      <c r="A13" t="s">
        <v>545</v>
      </c>
      <c r="D13">
        <f>'4,5章'!T10</f>
        <v>67</v>
      </c>
      <c r="H13">
        <f>'4,5章'!T10</f>
        <v>67</v>
      </c>
    </row>
    <row r="14" spans="1:9" x14ac:dyDescent="0.4">
      <c r="A14" s="9">
        <f>自動化シート!G343</f>
        <v>50</v>
      </c>
      <c r="B14" t="str">
        <f>B12</f>
        <v>決定値 R40</v>
      </c>
      <c r="D14" t="s">
        <v>551</v>
      </c>
      <c r="H14" t="s">
        <v>552</v>
      </c>
    </row>
    <row r="15" spans="1:9" x14ac:dyDescent="0.4">
      <c r="A15" t="str">
        <f>D14</f>
        <v>f'2</v>
      </c>
      <c r="D15">
        <f>ROUND(D13*4/5,2)</f>
        <v>53.6</v>
      </c>
      <c r="E15" t="str">
        <f>E11</f>
        <v>計算値</v>
      </c>
      <c r="H15">
        <f>A26</f>
        <v>100</v>
      </c>
      <c r="I15" t="s">
        <v>553</v>
      </c>
    </row>
    <row r="16" spans="1:9" x14ac:dyDescent="0.4">
      <c r="A16" s="9">
        <f>自動化シート!K343</f>
        <v>53.000000000000007</v>
      </c>
      <c r="B16" t="str">
        <f>B14</f>
        <v>決定値 R40</v>
      </c>
      <c r="D16" t="s">
        <v>554</v>
      </c>
    </row>
    <row r="17" spans="1:5" x14ac:dyDescent="0.4">
      <c r="A17" t="str">
        <f>D16</f>
        <v>t1</v>
      </c>
      <c r="D17">
        <f>ROUND(A12/5,2)</f>
        <v>12</v>
      </c>
    </row>
    <row r="18" spans="1:5" x14ac:dyDescent="0.4">
      <c r="A18" s="9">
        <f>自動化シート!O343</f>
        <v>12.5</v>
      </c>
      <c r="B18" t="str">
        <f>B16</f>
        <v>決定値 R40</v>
      </c>
      <c r="D18" t="s">
        <v>555</v>
      </c>
    </row>
    <row r="19" spans="1:5" x14ac:dyDescent="0.4">
      <c r="A19" t="s">
        <v>556</v>
      </c>
      <c r="D19">
        <f>ROUND(A12/6,2)</f>
        <v>10</v>
      </c>
    </row>
    <row r="20" spans="1:5" x14ac:dyDescent="0.4">
      <c r="A20" s="9">
        <f>'A歯車&amp;C歯車'!A12</f>
        <v>2.4</v>
      </c>
      <c r="D20" t="s">
        <v>538</v>
      </c>
    </row>
    <row r="21" spans="1:5" x14ac:dyDescent="0.4">
      <c r="A21" t="s">
        <v>557</v>
      </c>
      <c r="D21">
        <f>ROUND((D17*(A12^3)+(D13-A18)*(D19^3))/(6*A12),0)</f>
        <v>7351</v>
      </c>
      <c r="E21" t="s">
        <v>558</v>
      </c>
    </row>
    <row r="22" spans="1:5" x14ac:dyDescent="0.4">
      <c r="A22" s="9">
        <f>ROUNDUP(H4,0)</f>
        <v>65</v>
      </c>
      <c r="E22" t="s">
        <v>559</v>
      </c>
    </row>
    <row r="23" spans="1:5" x14ac:dyDescent="0.4">
      <c r="A23" t="s">
        <v>560</v>
      </c>
    </row>
    <row r="24" spans="1:5" x14ac:dyDescent="0.4">
      <c r="A24" s="9">
        <f>自動化シート!H177</f>
        <v>80</v>
      </c>
    </row>
    <row r="25" spans="1:5" x14ac:dyDescent="0.4">
      <c r="A25" t="s">
        <v>561</v>
      </c>
    </row>
    <row r="26" spans="1:5" x14ac:dyDescent="0.4">
      <c r="A26" s="9">
        <f>A24+20</f>
        <v>100</v>
      </c>
      <c r="B26" t="s">
        <v>562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D6" sqref="D6"/>
    </sheetView>
  </sheetViews>
  <sheetFormatPr defaultRowHeight="18.75" x14ac:dyDescent="0.4"/>
  <cols>
    <col min="2" max="2" width="61.75" customWidth="1"/>
    <col min="7" max="7" width="9" customWidth="1"/>
  </cols>
  <sheetData>
    <row r="1" spans="1:9" x14ac:dyDescent="0.4">
      <c r="A1" t="s">
        <v>563</v>
      </c>
      <c r="D1" t="s">
        <v>493</v>
      </c>
      <c r="H1" t="s">
        <v>564</v>
      </c>
    </row>
    <row r="2" spans="1:9" x14ac:dyDescent="0.4">
      <c r="A2" s="9">
        <f>MAX((('4,5章'!X6/2)-B歯車!A2)-(('例題7.1~7.4'!A6+A6*2)/2),0)</f>
        <v>14</v>
      </c>
      <c r="D2">
        <f>ROUND(('4,5章'!Q8/('4,5章'!W2/2))*A2,0)</f>
        <v>78488</v>
      </c>
      <c r="H2">
        <f>ROUND(1.2*第Ⅲ軸!A38,1)</f>
        <v>66</v>
      </c>
      <c r="I2" t="s">
        <v>565</v>
      </c>
    </row>
    <row r="3" spans="1:9" x14ac:dyDescent="0.4">
      <c r="A3" t="s">
        <v>566</v>
      </c>
      <c r="B3" t="s">
        <v>567</v>
      </c>
      <c r="D3" t="s">
        <v>568</v>
      </c>
      <c r="H3">
        <f>ROUND(2.2*第Ⅲ軸!A38,1)</f>
        <v>121</v>
      </c>
      <c r="I3" t="s">
        <v>569</v>
      </c>
    </row>
    <row r="4" spans="1:9" x14ac:dyDescent="0.4">
      <c r="A4" s="9">
        <f>ROUNDUP('3章'!A46*2+'3章'!A12+'6章'!A22+'例題7.1~7.4'!A16+20+'4,5章'!T10+10,0)</f>
        <v>1510</v>
      </c>
      <c r="B4" t="s">
        <v>570</v>
      </c>
      <c r="D4">
        <f>ROUND((4*D2)/(B歯車!A6*B歯車!A10),0)</f>
        <v>523</v>
      </c>
    </row>
    <row r="5" spans="1:9" x14ac:dyDescent="0.4">
      <c r="A5" t="s">
        <v>571</v>
      </c>
      <c r="D5" t="s">
        <v>572</v>
      </c>
      <c r="H5" t="s">
        <v>573</v>
      </c>
    </row>
    <row r="6" spans="1:9" x14ac:dyDescent="0.4">
      <c r="A6">
        <v>10</v>
      </c>
      <c r="B6" t="s">
        <v>574</v>
      </c>
      <c r="D6">
        <f>2*第Ⅲ軸!A38</f>
        <v>110</v>
      </c>
      <c r="H6">
        <f>ROUND((A4-('3章'!A46*2+'3章'!A12+'6章'!A22+'例題7.1~7.4'!A16+20+'4,5章'!T10))/2,1)</f>
        <v>5</v>
      </c>
    </row>
    <row r="7" spans="1:9" x14ac:dyDescent="0.4">
      <c r="D7" t="s">
        <v>575</v>
      </c>
      <c r="E7" t="s">
        <v>576</v>
      </c>
    </row>
    <row r="8" spans="1:9" x14ac:dyDescent="0.4">
      <c r="D8">
        <f>'例題7.1~7.4'!A16+'4,5章'!T10+10</f>
        <v>157</v>
      </c>
      <c r="E8" t="s">
        <v>577</v>
      </c>
    </row>
    <row r="9" spans="1:9" x14ac:dyDescent="0.4">
      <c r="D9">
        <f>ROUND(D8+40,-1)</f>
        <v>200</v>
      </c>
      <c r="E9" s="3" t="s">
        <v>578</v>
      </c>
    </row>
    <row r="10" spans="1:9" x14ac:dyDescent="0.4">
      <c r="D10" t="str">
        <f>D7</f>
        <v>ldb</v>
      </c>
      <c r="E10" t="s">
        <v>579</v>
      </c>
    </row>
    <row r="11" spans="1:9" x14ac:dyDescent="0.4">
      <c r="D11">
        <f>2*(('3章'!A46/2)+'6章'!A22+5)</f>
        <v>141</v>
      </c>
      <c r="E11" t="s">
        <v>74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60"/>
  <sheetViews>
    <sheetView workbookViewId="0">
      <selection activeCell="E6" sqref="E6"/>
    </sheetView>
  </sheetViews>
  <sheetFormatPr defaultRowHeight="18.75" x14ac:dyDescent="0.4"/>
  <sheetData>
    <row r="1" spans="1:18" x14ac:dyDescent="0.4">
      <c r="A1" t="s">
        <v>580</v>
      </c>
      <c r="D1" t="s">
        <v>581</v>
      </c>
      <c r="E1" t="s">
        <v>582</v>
      </c>
      <c r="G1" t="s">
        <v>422</v>
      </c>
      <c r="H1" t="s">
        <v>305</v>
      </c>
      <c r="K1" t="s">
        <v>583</v>
      </c>
      <c r="L1" t="s">
        <v>584</v>
      </c>
      <c r="O1" t="s">
        <v>78</v>
      </c>
      <c r="R1" t="s">
        <v>585</v>
      </c>
    </row>
    <row r="2" spans="1:18" x14ac:dyDescent="0.4">
      <c r="A2" s="9">
        <f>自動化シート!H180</f>
        <v>12</v>
      </c>
      <c r="B2" t="s">
        <v>586</v>
      </c>
      <c r="E2">
        <f>第Ⅲ軸!G2</f>
        <v>240</v>
      </c>
      <c r="H2">
        <f>0.36*第Ⅲ軸!A38</f>
        <v>19.8</v>
      </c>
      <c r="I2" t="s">
        <v>543</v>
      </c>
      <c r="L2">
        <f>ROUND((4*第Ⅲ軸!A36)/(PI()*A34*A34*A36),2)</f>
        <v>2.2999999999999998</v>
      </c>
      <c r="M2" t="s">
        <v>543</v>
      </c>
      <c r="O2">
        <f>(A8/2)+A58</f>
        <v>652</v>
      </c>
      <c r="R2">
        <f>第Ⅲ軸!A36</f>
        <v>22881</v>
      </c>
    </row>
    <row r="3" spans="1:18" x14ac:dyDescent="0.4">
      <c r="A3" t="s">
        <v>587</v>
      </c>
      <c r="E3" t="s">
        <v>588</v>
      </c>
      <c r="H3" t="s">
        <v>589</v>
      </c>
      <c r="L3">
        <f>ROUNDUP(L2,0)</f>
        <v>3</v>
      </c>
      <c r="M3" t="s">
        <v>590</v>
      </c>
      <c r="O3" t="s">
        <v>325</v>
      </c>
    </row>
    <row r="4" spans="1:18" x14ac:dyDescent="0.4">
      <c r="A4">
        <f>'4,5章'!U2</f>
        <v>112</v>
      </c>
      <c r="E4">
        <f>E2/2</f>
        <v>120</v>
      </c>
      <c r="H4">
        <f>ROUNDUP(A16+(2*(A2+A14+5)),-1)</f>
        <v>1580</v>
      </c>
      <c r="L4" t="s">
        <v>591</v>
      </c>
      <c r="O4">
        <f>ROUND(O2+E6,0)</f>
        <v>936</v>
      </c>
    </row>
    <row r="5" spans="1:18" x14ac:dyDescent="0.4">
      <c r="A5" t="s">
        <v>592</v>
      </c>
      <c r="E5" t="s">
        <v>593</v>
      </c>
      <c r="H5" t="s">
        <v>594</v>
      </c>
      <c r="L5">
        <f>2*A34</f>
        <v>24</v>
      </c>
      <c r="M5" t="s">
        <v>595</v>
      </c>
    </row>
    <row r="6" spans="1:18" x14ac:dyDescent="0.4">
      <c r="A6">
        <f>'4,5章'!V2</f>
        <v>368</v>
      </c>
      <c r="E6">
        <f>ROUND(SQRT((((AVERAGE(A4,A8))^2)-((AVERAGE(A4,A6)/2)^2))),0)</f>
        <v>284</v>
      </c>
      <c r="H6">
        <f>A2+2*(A14+5)</f>
        <v>58</v>
      </c>
      <c r="L6">
        <f>2.5*A34</f>
        <v>30</v>
      </c>
      <c r="M6" t="s">
        <v>596</v>
      </c>
    </row>
    <row r="7" spans="1:18" x14ac:dyDescent="0.4">
      <c r="A7" t="s">
        <v>597</v>
      </c>
      <c r="E7" t="s">
        <v>598</v>
      </c>
      <c r="G7" t="s">
        <v>599</v>
      </c>
      <c r="H7" t="s">
        <v>600</v>
      </c>
      <c r="I7" t="s">
        <v>543</v>
      </c>
      <c r="L7" t="s">
        <v>601</v>
      </c>
    </row>
    <row r="8" spans="1:18" x14ac:dyDescent="0.4">
      <c r="A8">
        <f>'4,5章'!X2</f>
        <v>504</v>
      </c>
      <c r="E8">
        <f>ROUND(SQRT((E4^2)+(A10^2)),0)</f>
        <v>314</v>
      </c>
      <c r="H8">
        <f>1.5*第Ⅲ軸!A38</f>
        <v>82.5</v>
      </c>
      <c r="I8" t="s">
        <v>602</v>
      </c>
      <c r="L8">
        <f>1.5*A34</f>
        <v>18</v>
      </c>
      <c r="M8" t="s">
        <v>602</v>
      </c>
    </row>
    <row r="9" spans="1:18" x14ac:dyDescent="0.4">
      <c r="A9" t="s">
        <v>603</v>
      </c>
      <c r="D9" t="s">
        <v>604</v>
      </c>
      <c r="E9" t="s">
        <v>305</v>
      </c>
      <c r="F9" t="s">
        <v>605</v>
      </c>
      <c r="H9">
        <f>1.8*第Ⅲ軸!A38</f>
        <v>99</v>
      </c>
      <c r="I9" t="s">
        <v>606</v>
      </c>
      <c r="L9">
        <f>L5</f>
        <v>24</v>
      </c>
      <c r="M9" t="str">
        <f>M5</f>
        <v>×2</v>
      </c>
    </row>
    <row r="10" spans="1:18" x14ac:dyDescent="0.4">
      <c r="A10" s="13">
        <v>290</v>
      </c>
      <c r="E10">
        <f>2*第Ⅲ軸!A38</f>
        <v>110</v>
      </c>
      <c r="H10" t="s">
        <v>607</v>
      </c>
      <c r="I10" t="str">
        <f>I7</f>
        <v>計算値</v>
      </c>
      <c r="L10" t="s">
        <v>459</v>
      </c>
      <c r="M10" t="s">
        <v>608</v>
      </c>
    </row>
    <row r="11" spans="1:18" x14ac:dyDescent="0.4">
      <c r="A11" t="s">
        <v>609</v>
      </c>
      <c r="H11">
        <f>A8</f>
        <v>504</v>
      </c>
      <c r="I11" t="s">
        <v>610</v>
      </c>
      <c r="L11">
        <f>2*A20+1.3*A34</f>
        <v>41.6</v>
      </c>
      <c r="M11" t="s">
        <v>611</v>
      </c>
    </row>
    <row r="12" spans="1:18" x14ac:dyDescent="0.4">
      <c r="A12" s="9">
        <f>自動化シート!AQ28</f>
        <v>20</v>
      </c>
      <c r="B12" t="s">
        <v>612</v>
      </c>
      <c r="H12">
        <f>1.3*A8</f>
        <v>655.20000000000005</v>
      </c>
      <c r="I12" t="s">
        <v>613</v>
      </c>
      <c r="L12">
        <f>2*A20+1.6*A34</f>
        <v>45.2</v>
      </c>
      <c r="M12" t="s">
        <v>614</v>
      </c>
    </row>
    <row r="13" spans="1:18" x14ac:dyDescent="0.4">
      <c r="A13" t="s">
        <v>615</v>
      </c>
      <c r="H13" t="s">
        <v>616</v>
      </c>
      <c r="I13" t="str">
        <f>I7</f>
        <v>計算値</v>
      </c>
      <c r="K13" t="s">
        <v>617</v>
      </c>
      <c r="L13" t="s">
        <v>618</v>
      </c>
    </row>
    <row r="14" spans="1:18" x14ac:dyDescent="0.4">
      <c r="A14" s="9">
        <f>自動化シート!AU28</f>
        <v>18</v>
      </c>
      <c r="B14" t="s">
        <v>619</v>
      </c>
      <c r="H14">
        <f>0.82*A26</f>
        <v>491.99999999999994</v>
      </c>
      <c r="I14" t="s">
        <v>620</v>
      </c>
      <c r="L14">
        <f>ROUND(D歯車!A4+A40+2*(A2+'第Ⅰ軸,第Ⅱ軸'!A14+A44),0)</f>
        <v>1841</v>
      </c>
    </row>
    <row r="15" spans="1:18" x14ac:dyDescent="0.4">
      <c r="A15" t="s">
        <v>621</v>
      </c>
      <c r="H15">
        <f>0.85*A26</f>
        <v>510</v>
      </c>
      <c r="I15" t="s">
        <v>622</v>
      </c>
      <c r="L15" t="s">
        <v>623</v>
      </c>
    </row>
    <row r="16" spans="1:18" x14ac:dyDescent="0.4">
      <c r="A16" s="9">
        <f>D歯車!A4</f>
        <v>1510</v>
      </c>
      <c r="B16" t="s">
        <v>624</v>
      </c>
      <c r="H16" t="s">
        <v>305</v>
      </c>
      <c r="L16">
        <f>A16+2*(A2+A46)</f>
        <v>1614</v>
      </c>
    </row>
    <row r="17" spans="1:12" x14ac:dyDescent="0.4">
      <c r="A17" t="s">
        <v>600</v>
      </c>
      <c r="H17">
        <f>0.3*第Ⅲ軸!A38</f>
        <v>16.5</v>
      </c>
      <c r="L17" t="s">
        <v>566</v>
      </c>
    </row>
    <row r="18" spans="1:12" x14ac:dyDescent="0.4">
      <c r="A18" s="9">
        <f>自動化シート!AE54</f>
        <v>100</v>
      </c>
      <c r="B18" t="s">
        <v>625</v>
      </c>
      <c r="L18">
        <f>A16+2*(A2+A48)</f>
        <v>1558</v>
      </c>
    </row>
    <row r="19" spans="1:12" x14ac:dyDescent="0.4">
      <c r="A19" t="s">
        <v>626</v>
      </c>
    </row>
    <row r="20" spans="1:12" x14ac:dyDescent="0.4">
      <c r="A20" s="9">
        <f>自動化シート!AG54</f>
        <v>13</v>
      </c>
    </row>
    <row r="21" spans="1:12" x14ac:dyDescent="0.4">
      <c r="A21" t="s">
        <v>627</v>
      </c>
    </row>
    <row r="22" spans="1:12" x14ac:dyDescent="0.4">
      <c r="A22" s="9">
        <f>自動化シート!AH54</f>
        <v>10</v>
      </c>
    </row>
    <row r="23" spans="1:12" x14ac:dyDescent="0.4">
      <c r="A23" t="s">
        <v>628</v>
      </c>
    </row>
    <row r="24" spans="1:12" x14ac:dyDescent="0.4">
      <c r="A24" s="9">
        <f>自動化シート!AI54</f>
        <v>7</v>
      </c>
    </row>
    <row r="25" spans="1:12" x14ac:dyDescent="0.4">
      <c r="A25" t="str">
        <f>H10</f>
        <v>L0</v>
      </c>
    </row>
    <row r="26" spans="1:12" x14ac:dyDescent="0.4">
      <c r="A26" s="9">
        <f>自動化シート!S343</f>
        <v>600</v>
      </c>
      <c r="B26" t="s">
        <v>629</v>
      </c>
    </row>
    <row r="27" spans="1:12" x14ac:dyDescent="0.4">
      <c r="A27" t="str">
        <f>H13</f>
        <v>C</v>
      </c>
    </row>
    <row r="28" spans="1:12" x14ac:dyDescent="0.4">
      <c r="A28" s="9">
        <f>自動化シート!W343</f>
        <v>500</v>
      </c>
      <c r="B28" t="str">
        <f>B26</f>
        <v>R40,決定値</v>
      </c>
    </row>
    <row r="29" spans="1:12" x14ac:dyDescent="0.4">
      <c r="A29" t="s">
        <v>630</v>
      </c>
      <c r="B29" t="s">
        <v>631</v>
      </c>
    </row>
    <row r="30" spans="1:12" x14ac:dyDescent="0.4">
      <c r="A30" s="9">
        <f>自動化シート!C628</f>
        <v>20</v>
      </c>
      <c r="B30" t="s">
        <v>590</v>
      </c>
    </row>
    <row r="31" spans="1:12" x14ac:dyDescent="0.4">
      <c r="A31" t="s">
        <v>632</v>
      </c>
    </row>
    <row r="32" spans="1:12" x14ac:dyDescent="0.4">
      <c r="A32">
        <f>自動化シート!AT54</f>
        <v>22</v>
      </c>
      <c r="B32" t="s">
        <v>633</v>
      </c>
    </row>
    <row r="33" spans="1:2" x14ac:dyDescent="0.4">
      <c r="A33" t="s">
        <v>305</v>
      </c>
    </row>
    <row r="34" spans="1:2" x14ac:dyDescent="0.4">
      <c r="A34" s="13">
        <v>12</v>
      </c>
      <c r="B34" t="s">
        <v>634</v>
      </c>
    </row>
    <row r="35" spans="1:2" x14ac:dyDescent="0.4">
      <c r="A35" t="s">
        <v>635</v>
      </c>
    </row>
    <row r="36" spans="1:2" x14ac:dyDescent="0.4">
      <c r="A36">
        <v>88</v>
      </c>
    </row>
    <row r="37" spans="1:2" x14ac:dyDescent="0.4">
      <c r="A37" t="s">
        <v>459</v>
      </c>
    </row>
    <row r="38" spans="1:2" x14ac:dyDescent="0.4">
      <c r="A38">
        <v>42</v>
      </c>
      <c r="B38" t="s">
        <v>636</v>
      </c>
    </row>
    <row r="39" spans="1:2" x14ac:dyDescent="0.4">
      <c r="A39" t="s">
        <v>637</v>
      </c>
    </row>
    <row r="40" spans="1:2" x14ac:dyDescent="0.4">
      <c r="A40" s="9">
        <f>B歯車!H11</f>
        <v>167</v>
      </c>
    </row>
    <row r="41" spans="1:2" x14ac:dyDescent="0.4">
      <c r="A41" t="s">
        <v>638</v>
      </c>
    </row>
    <row r="42" spans="1:2" x14ac:dyDescent="0.4">
      <c r="A42" s="111">
        <v>50</v>
      </c>
    </row>
    <row r="43" spans="1:2" x14ac:dyDescent="0.4">
      <c r="A43" t="s">
        <v>639</v>
      </c>
    </row>
    <row r="44" spans="1:2" x14ac:dyDescent="0.4">
      <c r="A44">
        <f>'9章'!D4-'9章'!D6</f>
        <v>40</v>
      </c>
      <c r="B44" t="s">
        <v>640</v>
      </c>
    </row>
    <row r="45" spans="1:2" x14ac:dyDescent="0.4">
      <c r="A45" t="s">
        <v>639</v>
      </c>
    </row>
    <row r="46" spans="1:2" x14ac:dyDescent="0.4">
      <c r="A46">
        <f>'9章'!G4-'9章'!G6</f>
        <v>40</v>
      </c>
      <c r="B46" t="s">
        <v>641</v>
      </c>
    </row>
    <row r="47" spans="1:2" x14ac:dyDescent="0.4">
      <c r="A47" t="s">
        <v>453</v>
      </c>
    </row>
    <row r="48" spans="1:2" x14ac:dyDescent="0.4">
      <c r="A48">
        <f>第Ⅲ軸!D33</f>
        <v>12</v>
      </c>
      <c r="B48" t="s">
        <v>642</v>
      </c>
    </row>
    <row r="49" spans="1:5" x14ac:dyDescent="0.4">
      <c r="A49" t="s">
        <v>618</v>
      </c>
      <c r="D49" t="str">
        <f>A49</f>
        <v>L1</v>
      </c>
    </row>
    <row r="50" spans="1:5" x14ac:dyDescent="0.4">
      <c r="A50" s="13">
        <f>ROUNDUP(D50,-1)</f>
        <v>1850</v>
      </c>
      <c r="B50" t="str">
        <f>B30</f>
        <v>決定値</v>
      </c>
      <c r="D50">
        <f>L14</f>
        <v>1841</v>
      </c>
      <c r="E50" t="s">
        <v>74</v>
      </c>
    </row>
    <row r="51" spans="1:5" x14ac:dyDescent="0.4">
      <c r="A51" t="s">
        <v>623</v>
      </c>
      <c r="D51" t="str">
        <f>A51</f>
        <v>L2</v>
      </c>
    </row>
    <row r="52" spans="1:5" x14ac:dyDescent="0.4">
      <c r="A52" s="13">
        <f>ROUNDUP(D52,-1)</f>
        <v>1620</v>
      </c>
      <c r="B52" t="str">
        <f>B50</f>
        <v>決定値</v>
      </c>
      <c r="D52">
        <f>L16</f>
        <v>1614</v>
      </c>
      <c r="E52" t="s">
        <v>74</v>
      </c>
    </row>
    <row r="53" spans="1:5" x14ac:dyDescent="0.4">
      <c r="A53" t="s">
        <v>566</v>
      </c>
      <c r="D53" t="str">
        <f>A53</f>
        <v>L3</v>
      </c>
    </row>
    <row r="54" spans="1:5" x14ac:dyDescent="0.4">
      <c r="A54" s="13">
        <f>ROUNDUP(D54,-1)</f>
        <v>1560</v>
      </c>
      <c r="B54" t="str">
        <f>B52</f>
        <v>決定値</v>
      </c>
      <c r="D54">
        <f>L18</f>
        <v>1558</v>
      </c>
      <c r="E54" t="s">
        <v>74</v>
      </c>
    </row>
    <row r="55" spans="1:5" x14ac:dyDescent="0.4">
      <c r="A55" t="s">
        <v>78</v>
      </c>
    </row>
    <row r="56" spans="1:5" x14ac:dyDescent="0.4">
      <c r="A56">
        <f>O2</f>
        <v>652</v>
      </c>
      <c r="B56" t="s">
        <v>59</v>
      </c>
    </row>
    <row r="57" spans="1:5" x14ac:dyDescent="0.4">
      <c r="A57" t="s">
        <v>22</v>
      </c>
      <c r="B57" t="s">
        <v>643</v>
      </c>
    </row>
    <row r="58" spans="1:5" x14ac:dyDescent="0.4">
      <c r="A58" s="1">
        <v>400</v>
      </c>
      <c r="B58" t="s">
        <v>644</v>
      </c>
    </row>
    <row r="59" spans="1:5" x14ac:dyDescent="0.4">
      <c r="A59" t="s">
        <v>325</v>
      </c>
    </row>
    <row r="60" spans="1:5" x14ac:dyDescent="0.4">
      <c r="A60">
        <f>O4</f>
        <v>936</v>
      </c>
      <c r="B60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5A37-2332-45F3-91DC-AEF31590236A}">
  <dimension ref="A1:I12"/>
  <sheetViews>
    <sheetView workbookViewId="0">
      <selection activeCell="A3" sqref="A3"/>
    </sheetView>
  </sheetViews>
  <sheetFormatPr defaultRowHeight="18.75" x14ac:dyDescent="0.4"/>
  <sheetData>
    <row r="1" spans="1:9" x14ac:dyDescent="0.4">
      <c r="A1" t="s">
        <v>56</v>
      </c>
      <c r="B1" t="str">
        <f>C1</f>
        <v>(a)</v>
      </c>
      <c r="C1" t="s">
        <v>151</v>
      </c>
      <c r="D1" t="s">
        <v>54</v>
      </c>
      <c r="G1" t="s">
        <v>173</v>
      </c>
      <c r="H1" t="s">
        <v>54</v>
      </c>
    </row>
    <row r="2" spans="1:9" x14ac:dyDescent="0.4">
      <c r="A2">
        <f>自動化シート!AA343</f>
        <v>40</v>
      </c>
      <c r="B2" t="s">
        <v>59</v>
      </c>
      <c r="D2">
        <f>'例題11.1'!A12</f>
        <v>20</v>
      </c>
      <c r="H2">
        <f>D2</f>
        <v>20</v>
      </c>
    </row>
    <row r="3" spans="1:9" x14ac:dyDescent="0.4">
      <c r="A3" t="s">
        <v>254</v>
      </c>
      <c r="B3" t="str">
        <f>C1</f>
        <v>(a)</v>
      </c>
      <c r="D3" t="s">
        <v>56</v>
      </c>
      <c r="H3" t="s">
        <v>56</v>
      </c>
    </row>
    <row r="4" spans="1:9" x14ac:dyDescent="0.4">
      <c r="A4">
        <f>ROUNDDOWN(AVERAGE(D7:D8),0)</f>
        <v>34</v>
      </c>
      <c r="B4" t="str">
        <f>B2</f>
        <v>決定値</v>
      </c>
      <c r="D4">
        <f>D2*1.8</f>
        <v>36</v>
      </c>
      <c r="E4" t="s">
        <v>645</v>
      </c>
      <c r="H4">
        <f>H2*1.8</f>
        <v>36</v>
      </c>
      <c r="I4" t="s">
        <v>645</v>
      </c>
    </row>
    <row r="5" spans="1:9" x14ac:dyDescent="0.4">
      <c r="A5" t="s">
        <v>398</v>
      </c>
      <c r="B5" t="str">
        <f>B3</f>
        <v>(a)</v>
      </c>
      <c r="D5">
        <f>ROUND(D2*2,1)</f>
        <v>40</v>
      </c>
      <c r="E5" t="s">
        <v>505</v>
      </c>
      <c r="H5">
        <f>ROUND(H2*2,1)</f>
        <v>40</v>
      </c>
      <c r="I5" t="s">
        <v>505</v>
      </c>
    </row>
    <row r="6" spans="1:9" x14ac:dyDescent="0.4">
      <c r="A6" t="str">
        <f>IF(D2&gt;22,教科書掲載表!$AG$18,教科書掲載表!$AG$16)</f>
        <v>M6</v>
      </c>
      <c r="B6" t="str">
        <f>B4</f>
        <v>決定値</v>
      </c>
      <c r="D6" t="s">
        <v>254</v>
      </c>
    </row>
    <row r="7" spans="1:9" x14ac:dyDescent="0.4">
      <c r="A7" t="str">
        <f>H3</f>
        <v>d2</v>
      </c>
      <c r="B7" t="str">
        <f>G1</f>
        <v>(b)</v>
      </c>
      <c r="D7">
        <f>ROUND(D2*1.2,1)</f>
        <v>24</v>
      </c>
      <c r="E7" t="s">
        <v>565</v>
      </c>
    </row>
    <row r="8" spans="1:9" x14ac:dyDescent="0.4">
      <c r="A8">
        <f>自動化シート!T165</f>
        <v>38</v>
      </c>
      <c r="B8" t="str">
        <f>B6</f>
        <v>決定値</v>
      </c>
      <c r="D8">
        <f>ROUND(D2*2.2,1)</f>
        <v>44</v>
      </c>
      <c r="E8" t="s">
        <v>569</v>
      </c>
    </row>
    <row r="9" spans="1:9" x14ac:dyDescent="0.4">
      <c r="A9" t="s">
        <v>22</v>
      </c>
      <c r="B9" t="str">
        <f>B7</f>
        <v>(b)</v>
      </c>
    </row>
    <row r="10" spans="1:9" x14ac:dyDescent="0.4">
      <c r="A10">
        <f>IF(H2&gt;22,教科書掲載表!AF18,教科書掲載表!AF16)</f>
        <v>12.5</v>
      </c>
      <c r="B10" t="s">
        <v>590</v>
      </c>
    </row>
    <row r="11" spans="1:9" x14ac:dyDescent="0.4">
      <c r="A11" t="str">
        <f>A5</f>
        <v>止めねじ</v>
      </c>
      <c r="B11" t="str">
        <f>B9</f>
        <v>(b)</v>
      </c>
    </row>
    <row r="12" spans="1:9" x14ac:dyDescent="0.4">
      <c r="A12" t="str">
        <f>IF(H2&gt;22,教科書掲載表!$AG$18,教科書掲載表!$AG$16)</f>
        <v>M6</v>
      </c>
      <c r="B12" t="str">
        <f>B10</f>
        <v>決定値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A7" sqref="A7"/>
    </sheetView>
  </sheetViews>
  <sheetFormatPr defaultRowHeight="18.75" x14ac:dyDescent="0.4"/>
  <cols>
    <col min="2" max="2" width="12.875" customWidth="1"/>
  </cols>
  <sheetData>
    <row r="1" spans="1:6" x14ac:dyDescent="0.4">
      <c r="A1" t="str">
        <f>E6</f>
        <v>控えボルトのマージン</v>
      </c>
      <c r="D1" t="s">
        <v>646</v>
      </c>
      <c r="E1" t="s">
        <v>647</v>
      </c>
    </row>
    <row r="2" spans="1:6" x14ac:dyDescent="0.4">
      <c r="A2" s="9">
        <f>ROUND(E7,-1)</f>
        <v>40</v>
      </c>
      <c r="B2" t="s">
        <v>590</v>
      </c>
      <c r="E2">
        <f>'例題11.1'!A26</f>
        <v>600</v>
      </c>
    </row>
    <row r="3" spans="1:6" x14ac:dyDescent="0.4">
      <c r="A3" t="str">
        <f>E3</f>
        <v>フレーム上縁</v>
      </c>
      <c r="D3" t="s">
        <v>581</v>
      </c>
      <c r="E3" t="s">
        <v>648</v>
      </c>
    </row>
    <row r="4" spans="1:6" x14ac:dyDescent="0.4">
      <c r="A4">
        <f>ROUND(AVERAGE(E4:E5),0)</f>
        <v>330</v>
      </c>
      <c r="B4" t="str">
        <f>B2</f>
        <v>決定値</v>
      </c>
      <c r="E4">
        <f>0.5*E2</f>
        <v>300</v>
      </c>
      <c r="F4" t="s">
        <v>530</v>
      </c>
    </row>
    <row r="5" spans="1:6" x14ac:dyDescent="0.4">
      <c r="A5" t="s">
        <v>649</v>
      </c>
      <c r="E5">
        <f>0.6*E2</f>
        <v>360</v>
      </c>
      <c r="F5" t="s">
        <v>650</v>
      </c>
    </row>
    <row r="6" spans="1:6" x14ac:dyDescent="0.4">
      <c r="A6" s="13">
        <v>83</v>
      </c>
      <c r="B6" t="s">
        <v>651</v>
      </c>
      <c r="D6" t="s">
        <v>604</v>
      </c>
      <c r="E6" t="s">
        <v>652</v>
      </c>
    </row>
    <row r="7" spans="1:6" x14ac:dyDescent="0.4">
      <c r="E7">
        <f>'例題11.1'!A12*2</f>
        <v>40</v>
      </c>
    </row>
    <row r="8" spans="1:6" x14ac:dyDescent="0.4">
      <c r="D8" t="s">
        <v>653</v>
      </c>
      <c r="E8" t="s">
        <v>654</v>
      </c>
    </row>
    <row r="9" spans="1:6" x14ac:dyDescent="0.4">
      <c r="E9">
        <f>ROUND(('4,5章'!X4/2)*3.144,0)+A6</f>
        <v>900</v>
      </c>
      <c r="F9" t="s">
        <v>655</v>
      </c>
    </row>
    <row r="10" spans="1:6" x14ac:dyDescent="0.4">
      <c r="E10" s="39" t="s">
        <v>656</v>
      </c>
    </row>
    <row r="11" spans="1:6" x14ac:dyDescent="0.4">
      <c r="E11" t="s">
        <v>657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87F5-175C-4B20-B58A-64ED41F5ABF0}">
  <dimension ref="A1:AS322"/>
  <sheetViews>
    <sheetView workbookViewId="0">
      <selection activeCell="U1" sqref="U1:U4"/>
    </sheetView>
  </sheetViews>
  <sheetFormatPr defaultRowHeight="18.75" x14ac:dyDescent="0.4"/>
  <cols>
    <col min="1" max="1" width="9.25" bestFit="1" customWidth="1"/>
    <col min="3" max="3" width="9.25" bestFit="1" customWidth="1"/>
    <col min="6" max="6" width="10.25" customWidth="1"/>
    <col min="7" max="7" width="4.625" customWidth="1"/>
    <col min="9" max="9" width="15" customWidth="1"/>
    <col min="19" max="19" width="12.125" customWidth="1"/>
    <col min="20" max="20" width="13.25" customWidth="1"/>
  </cols>
  <sheetData>
    <row r="1" spans="1:45" ht="18.75" customHeight="1" x14ac:dyDescent="0.4">
      <c r="A1" s="159" t="s">
        <v>658</v>
      </c>
      <c r="B1" s="161" t="s">
        <v>659</v>
      </c>
      <c r="C1" s="161" t="s">
        <v>660</v>
      </c>
      <c r="D1" s="151" t="s">
        <v>661</v>
      </c>
      <c r="F1" s="167" t="s">
        <v>662</v>
      </c>
      <c r="G1" s="168"/>
      <c r="H1" s="175" t="s">
        <v>663</v>
      </c>
      <c r="I1" s="175" t="s">
        <v>664</v>
      </c>
      <c r="J1" s="168" t="s">
        <v>665</v>
      </c>
      <c r="K1" s="168"/>
      <c r="L1" s="169"/>
      <c r="N1" s="178" t="s">
        <v>666</v>
      </c>
      <c r="O1" s="181" t="s">
        <v>667</v>
      </c>
      <c r="P1" s="181" t="s">
        <v>668</v>
      </c>
      <c r="Q1" s="186" t="s">
        <v>669</v>
      </c>
      <c r="S1" s="189" t="s">
        <v>670</v>
      </c>
      <c r="T1" s="181" t="s">
        <v>671</v>
      </c>
      <c r="U1" s="181" t="s">
        <v>672</v>
      </c>
      <c r="V1" s="181" t="s">
        <v>673</v>
      </c>
      <c r="W1" s="186" t="s">
        <v>674</v>
      </c>
    </row>
    <row r="2" spans="1:45" ht="34.5" customHeight="1" thickBot="1" x14ac:dyDescent="0.45">
      <c r="A2" s="160"/>
      <c r="B2" s="162"/>
      <c r="C2" s="162"/>
      <c r="D2" s="152"/>
      <c r="F2" s="172" t="s">
        <v>662</v>
      </c>
      <c r="G2" s="170" t="s">
        <v>675</v>
      </c>
      <c r="H2" s="176"/>
      <c r="I2" s="176"/>
      <c r="J2" s="124" t="s">
        <v>676</v>
      </c>
      <c r="K2" s="124" t="s">
        <v>677</v>
      </c>
      <c r="L2" s="42" t="s">
        <v>678</v>
      </c>
      <c r="N2" s="179"/>
      <c r="O2" s="182"/>
      <c r="P2" s="182"/>
      <c r="Q2" s="187"/>
      <c r="S2" s="190"/>
      <c r="T2" s="182"/>
      <c r="U2" s="182"/>
      <c r="V2" s="182"/>
      <c r="W2" s="187"/>
    </row>
    <row r="3" spans="1:45" ht="18.75" customHeight="1" x14ac:dyDescent="0.4">
      <c r="A3" s="140">
        <f>B3</f>
        <v>0.1</v>
      </c>
      <c r="B3" s="142">
        <f t="shared" ref="B3" si="0">C3</f>
        <v>0.1</v>
      </c>
      <c r="C3" s="142">
        <f t="shared" ref="C3" si="1">D3</f>
        <v>0.1</v>
      </c>
      <c r="D3" s="108">
        <f t="shared" ref="D3:D42" si="2">D43/10</f>
        <v>0.1</v>
      </c>
      <c r="F3" s="172"/>
      <c r="G3" s="170"/>
      <c r="H3" s="176"/>
      <c r="I3" s="176"/>
      <c r="J3" s="170" t="s">
        <v>679</v>
      </c>
      <c r="K3" s="170"/>
      <c r="L3" s="171"/>
      <c r="N3" s="179"/>
      <c r="O3" s="182"/>
      <c r="P3" s="182"/>
      <c r="Q3" s="187"/>
      <c r="S3" s="190"/>
      <c r="T3" s="182"/>
      <c r="U3" s="182"/>
      <c r="V3" s="182"/>
      <c r="W3" s="187"/>
    </row>
    <row r="4" spans="1:45" ht="34.5" customHeight="1" thickBot="1" x14ac:dyDescent="0.45">
      <c r="A4" s="144"/>
      <c r="B4" s="142"/>
      <c r="C4" s="142"/>
      <c r="D4" s="108">
        <f t="shared" si="2"/>
        <v>0.10600000000000001</v>
      </c>
      <c r="F4" s="173"/>
      <c r="G4" s="174"/>
      <c r="H4" s="177"/>
      <c r="I4" s="177"/>
      <c r="J4" s="125" t="s">
        <v>680</v>
      </c>
      <c r="K4" s="125" t="s">
        <v>681</v>
      </c>
      <c r="L4" s="43" t="s">
        <v>682</v>
      </c>
      <c r="N4" s="180"/>
      <c r="O4" s="183"/>
      <c r="P4" s="183"/>
      <c r="Q4" s="188"/>
      <c r="S4" s="191"/>
      <c r="T4" s="183"/>
      <c r="U4" s="183"/>
      <c r="V4" s="183"/>
      <c r="W4" s="188"/>
    </row>
    <row r="5" spans="1:45" x14ac:dyDescent="0.4">
      <c r="A5" s="144"/>
      <c r="B5" s="142"/>
      <c r="C5" s="142">
        <f t="shared" ref="C5" si="3">D5</f>
        <v>0.11200000000000002</v>
      </c>
      <c r="D5" s="108">
        <f t="shared" si="2"/>
        <v>0.11200000000000002</v>
      </c>
      <c r="F5" s="117" t="s">
        <v>683</v>
      </c>
      <c r="G5" s="121">
        <v>1</v>
      </c>
      <c r="H5" s="121">
        <v>0.25</v>
      </c>
      <c r="I5" s="44">
        <f t="shared" ref="I5:I44" si="4">ROUNDDOWN((J5-L5)/2,3)</f>
        <v>0.13500000000000001</v>
      </c>
      <c r="J5" s="44">
        <v>1</v>
      </c>
      <c r="K5" s="44">
        <f t="shared" ref="K5:K44" si="5">J5-0.649519*H5</f>
        <v>0.83762025000000007</v>
      </c>
      <c r="L5" s="45">
        <f t="shared" ref="L5:L44" si="6">ROUND(J5-1.082532*H5,3)</f>
        <v>0.72899999999999998</v>
      </c>
      <c r="N5" s="55">
        <v>1.6</v>
      </c>
      <c r="O5" s="56">
        <v>1.7</v>
      </c>
      <c r="P5" s="56">
        <v>4</v>
      </c>
      <c r="Q5" s="57">
        <v>0.3</v>
      </c>
      <c r="S5" s="59">
        <v>1</v>
      </c>
      <c r="T5" s="131">
        <v>1.1000000000000001</v>
      </c>
      <c r="U5" s="82">
        <v>1.2</v>
      </c>
      <c r="V5" s="131">
        <v>0.2</v>
      </c>
      <c r="W5" s="132">
        <v>3</v>
      </c>
    </row>
    <row r="6" spans="1:45" ht="19.5" thickBot="1" x14ac:dyDescent="0.45">
      <c r="A6" s="144"/>
      <c r="B6" s="142"/>
      <c r="C6" s="142"/>
      <c r="D6" s="108">
        <f t="shared" si="2"/>
        <v>0.11799999999999999</v>
      </c>
      <c r="F6" s="115" t="s">
        <v>684</v>
      </c>
      <c r="G6" s="122">
        <v>2</v>
      </c>
      <c r="H6" s="122">
        <v>0.25</v>
      </c>
      <c r="I6" s="46">
        <f t="shared" si="4"/>
        <v>0.13500000000000001</v>
      </c>
      <c r="J6" s="46">
        <v>1.1000000000000001</v>
      </c>
      <c r="K6" s="46">
        <f t="shared" si="5"/>
        <v>0.93762025000000015</v>
      </c>
      <c r="L6" s="47">
        <f t="shared" si="6"/>
        <v>0.82899999999999996</v>
      </c>
      <c r="N6" s="51">
        <v>2</v>
      </c>
      <c r="O6" s="8">
        <v>2.2000000000000002</v>
      </c>
      <c r="P6" s="8">
        <v>5</v>
      </c>
      <c r="Q6" s="50">
        <v>0.3</v>
      </c>
      <c r="S6" s="115">
        <v>1.2</v>
      </c>
      <c r="T6" s="122">
        <v>1.3</v>
      </c>
      <c r="U6" s="8">
        <v>1.4</v>
      </c>
      <c r="V6" s="122">
        <f>V5</f>
        <v>0.2</v>
      </c>
      <c r="W6" s="116">
        <v>4</v>
      </c>
      <c r="Y6" t="s">
        <v>685</v>
      </c>
    </row>
    <row r="7" spans="1:45" x14ac:dyDescent="0.4">
      <c r="A7" s="144"/>
      <c r="B7" s="142">
        <f t="shared" ref="B7" si="7">C7</f>
        <v>0.125</v>
      </c>
      <c r="C7" s="142">
        <f t="shared" ref="C7" si="8">D7</f>
        <v>0.125</v>
      </c>
      <c r="D7" s="108">
        <f t="shared" si="2"/>
        <v>0.125</v>
      </c>
      <c r="F7" s="115" t="s">
        <v>686</v>
      </c>
      <c r="G7" s="122">
        <v>1</v>
      </c>
      <c r="H7" s="122">
        <v>0.25</v>
      </c>
      <c r="I7" s="46">
        <f t="shared" si="4"/>
        <v>0.13500000000000001</v>
      </c>
      <c r="J7" s="46">
        <v>1.2</v>
      </c>
      <c r="K7" s="46">
        <f t="shared" si="5"/>
        <v>1.03762025</v>
      </c>
      <c r="L7" s="47">
        <f t="shared" si="6"/>
        <v>0.92900000000000005</v>
      </c>
      <c r="N7" s="51">
        <v>2.5</v>
      </c>
      <c r="O7" s="8">
        <v>2.7</v>
      </c>
      <c r="P7" s="8">
        <v>6</v>
      </c>
      <c r="Q7" s="50">
        <v>0.5</v>
      </c>
      <c r="S7" s="115">
        <v>1.4</v>
      </c>
      <c r="T7" s="122">
        <v>1.5</v>
      </c>
      <c r="U7" s="8">
        <v>1.6</v>
      </c>
      <c r="V7" s="122">
        <f>V6</f>
        <v>0.2</v>
      </c>
      <c r="W7" s="116">
        <v>4</v>
      </c>
      <c r="Y7" s="167" t="s">
        <v>687</v>
      </c>
      <c r="Z7" s="169"/>
      <c r="AA7" s="84" t="s">
        <v>688</v>
      </c>
      <c r="AB7" s="82" t="s">
        <v>689</v>
      </c>
      <c r="AC7" s="82" t="s">
        <v>690</v>
      </c>
      <c r="AD7" s="82" t="s">
        <v>691</v>
      </c>
      <c r="AE7" s="82" t="s">
        <v>692</v>
      </c>
      <c r="AF7" s="82" t="s">
        <v>693</v>
      </c>
      <c r="AG7" s="82" t="s">
        <v>694</v>
      </c>
      <c r="AH7" s="82" t="s">
        <v>695</v>
      </c>
      <c r="AI7" s="82" t="s">
        <v>696</v>
      </c>
      <c r="AJ7" s="82" t="s">
        <v>697</v>
      </c>
      <c r="AK7" s="82" t="s">
        <v>698</v>
      </c>
      <c r="AL7" s="82" t="s">
        <v>699</v>
      </c>
      <c r="AM7" s="82" t="s">
        <v>700</v>
      </c>
      <c r="AN7" s="82" t="s">
        <v>701</v>
      </c>
      <c r="AO7" s="82" t="s">
        <v>702</v>
      </c>
      <c r="AP7" s="82" t="s">
        <v>703</v>
      </c>
      <c r="AQ7" s="82" t="s">
        <v>704</v>
      </c>
      <c r="AR7" s="82" t="s">
        <v>705</v>
      </c>
      <c r="AS7" s="83" t="s">
        <v>706</v>
      </c>
    </row>
    <row r="8" spans="1:45" x14ac:dyDescent="0.4">
      <c r="A8" s="144"/>
      <c r="B8" s="142"/>
      <c r="C8" s="142"/>
      <c r="D8" s="108">
        <f t="shared" si="2"/>
        <v>0.13200000000000001</v>
      </c>
      <c r="F8" s="115" t="s">
        <v>707</v>
      </c>
      <c r="G8" s="122">
        <v>2</v>
      </c>
      <c r="H8" s="122">
        <v>0.3</v>
      </c>
      <c r="I8" s="46">
        <f t="shared" si="4"/>
        <v>0.16200000000000001</v>
      </c>
      <c r="J8" s="46">
        <v>1.4</v>
      </c>
      <c r="K8" s="46">
        <f t="shared" si="5"/>
        <v>1.2051442999999999</v>
      </c>
      <c r="L8" s="47">
        <f t="shared" si="6"/>
        <v>1.075</v>
      </c>
      <c r="N8" s="51">
        <v>3</v>
      </c>
      <c r="O8" s="8">
        <v>3.2</v>
      </c>
      <c r="P8" s="8">
        <v>7</v>
      </c>
      <c r="Q8" s="50">
        <v>0.5</v>
      </c>
      <c r="S8" s="115">
        <v>1.6</v>
      </c>
      <c r="T8" s="122">
        <v>1.7</v>
      </c>
      <c r="U8" s="8">
        <v>1.8</v>
      </c>
      <c r="V8" s="122">
        <f>V7</f>
        <v>0.2</v>
      </c>
      <c r="W8" s="116">
        <v>5</v>
      </c>
      <c r="Y8" s="172" t="s">
        <v>708</v>
      </c>
      <c r="Z8" s="171"/>
      <c r="AA8" s="85">
        <v>1.6</v>
      </c>
      <c r="AB8" s="8">
        <v>2</v>
      </c>
      <c r="AC8" s="8">
        <v>2.5</v>
      </c>
      <c r="AD8" s="8">
        <v>3</v>
      </c>
      <c r="AE8" s="8">
        <v>4</v>
      </c>
      <c r="AF8" s="8">
        <v>5</v>
      </c>
      <c r="AG8" s="8">
        <v>6</v>
      </c>
      <c r="AH8" s="8">
        <v>8</v>
      </c>
      <c r="AI8" s="8">
        <v>10</v>
      </c>
      <c r="AJ8" s="8">
        <v>12</v>
      </c>
      <c r="AK8" s="8">
        <v>16</v>
      </c>
      <c r="AL8" s="8">
        <v>20</v>
      </c>
      <c r="AM8" s="8">
        <v>24</v>
      </c>
      <c r="AN8" s="8">
        <v>30</v>
      </c>
      <c r="AO8" s="8">
        <v>36</v>
      </c>
      <c r="AP8" s="8">
        <v>42</v>
      </c>
      <c r="AQ8" s="8">
        <v>48</v>
      </c>
      <c r="AR8" s="8">
        <v>56</v>
      </c>
      <c r="AS8" s="50">
        <v>64</v>
      </c>
    </row>
    <row r="9" spans="1:45" x14ac:dyDescent="0.4">
      <c r="A9" s="144"/>
      <c r="B9" s="142"/>
      <c r="C9" s="142">
        <f t="shared" ref="C9" si="9">D9</f>
        <v>0.13999999999999999</v>
      </c>
      <c r="D9" s="108">
        <f t="shared" si="2"/>
        <v>0.13999999999999999</v>
      </c>
      <c r="F9" s="115" t="s">
        <v>688</v>
      </c>
      <c r="G9" s="122">
        <v>1</v>
      </c>
      <c r="H9" s="122">
        <v>0.35</v>
      </c>
      <c r="I9" s="46">
        <f t="shared" si="4"/>
        <v>0.189</v>
      </c>
      <c r="J9" s="46">
        <v>1.6</v>
      </c>
      <c r="K9" s="46">
        <f t="shared" si="5"/>
        <v>1.3726683500000001</v>
      </c>
      <c r="L9" s="47">
        <f t="shared" si="6"/>
        <v>1.2210000000000001</v>
      </c>
      <c r="N9" s="51">
        <v>4</v>
      </c>
      <c r="O9" s="8">
        <v>4.3</v>
      </c>
      <c r="P9" s="8">
        <v>9</v>
      </c>
      <c r="Q9" s="50">
        <v>0.8</v>
      </c>
      <c r="S9" s="115">
        <v>1.7</v>
      </c>
      <c r="T9" s="122">
        <v>1.8</v>
      </c>
      <c r="U9" s="8">
        <v>2</v>
      </c>
      <c r="V9" s="122">
        <f>V8</f>
        <v>0.2</v>
      </c>
      <c r="W9" s="116">
        <v>5</v>
      </c>
      <c r="Y9" s="172" t="s">
        <v>709</v>
      </c>
      <c r="Z9" s="171"/>
      <c r="AA9" s="85">
        <v>0.35</v>
      </c>
      <c r="AB9" s="8">
        <v>0.4</v>
      </c>
      <c r="AC9" s="8">
        <v>0.45</v>
      </c>
      <c r="AD9" s="8">
        <v>0.5</v>
      </c>
      <c r="AE9" s="8">
        <v>0.7</v>
      </c>
      <c r="AF9" s="8">
        <v>0.8</v>
      </c>
      <c r="AG9" s="8">
        <v>1</v>
      </c>
      <c r="AH9" s="8">
        <v>1.25</v>
      </c>
      <c r="AI9" s="8">
        <v>1.5</v>
      </c>
      <c r="AJ9" s="8">
        <v>1.75</v>
      </c>
      <c r="AK9" s="8">
        <v>2</v>
      </c>
      <c r="AL9" s="8">
        <v>2.5</v>
      </c>
      <c r="AM9" s="8">
        <v>3</v>
      </c>
      <c r="AN9" s="8">
        <v>3.5</v>
      </c>
      <c r="AO9" s="8">
        <v>4</v>
      </c>
      <c r="AP9" s="8">
        <v>4.5</v>
      </c>
      <c r="AQ9" s="8">
        <v>5</v>
      </c>
      <c r="AR9" s="8">
        <v>5.5</v>
      </c>
      <c r="AS9" s="50">
        <v>6</v>
      </c>
    </row>
    <row r="10" spans="1:45" x14ac:dyDescent="0.4">
      <c r="A10" s="144"/>
      <c r="B10" s="142"/>
      <c r="C10" s="142"/>
      <c r="D10" s="108">
        <f t="shared" si="2"/>
        <v>0.15</v>
      </c>
      <c r="F10" s="115" t="s">
        <v>710</v>
      </c>
      <c r="G10" s="122">
        <v>2</v>
      </c>
      <c r="H10" s="122">
        <v>0.35</v>
      </c>
      <c r="I10" s="46">
        <f t="shared" si="4"/>
        <v>0.189</v>
      </c>
      <c r="J10" s="46">
        <v>1.8</v>
      </c>
      <c r="K10" s="46">
        <f t="shared" si="5"/>
        <v>1.57266835</v>
      </c>
      <c r="L10" s="47">
        <f t="shared" si="6"/>
        <v>1.421</v>
      </c>
      <c r="N10" s="51">
        <v>5</v>
      </c>
      <c r="O10" s="8">
        <v>5.3</v>
      </c>
      <c r="P10" s="8">
        <v>10</v>
      </c>
      <c r="Q10" s="50">
        <v>1</v>
      </c>
      <c r="S10" s="115">
        <v>1.8</v>
      </c>
      <c r="T10" s="122">
        <v>2</v>
      </c>
      <c r="U10" s="8">
        <v>2.1</v>
      </c>
      <c r="V10" s="122">
        <f>V9</f>
        <v>0.2</v>
      </c>
      <c r="W10" s="116">
        <v>5</v>
      </c>
      <c r="Y10" s="172" t="s">
        <v>511</v>
      </c>
      <c r="Z10" s="116" t="s">
        <v>711</v>
      </c>
      <c r="AA10" s="85">
        <v>0.2</v>
      </c>
      <c r="AB10" s="8">
        <v>0.2</v>
      </c>
      <c r="AC10" s="8">
        <v>0.3</v>
      </c>
      <c r="AD10" s="8">
        <v>0.4</v>
      </c>
      <c r="AE10" s="8">
        <v>0.4</v>
      </c>
      <c r="AF10" s="8">
        <v>0.5</v>
      </c>
      <c r="AG10" s="8">
        <v>0.5</v>
      </c>
      <c r="AH10" s="8">
        <v>0.6</v>
      </c>
      <c r="AI10" s="8">
        <v>0.6</v>
      </c>
      <c r="AJ10" s="8">
        <v>0.6</v>
      </c>
      <c r="AK10" s="8">
        <v>0.8</v>
      </c>
      <c r="AL10" s="8">
        <v>0.8</v>
      </c>
      <c r="AM10" s="8">
        <v>0.8</v>
      </c>
      <c r="AN10" s="8">
        <v>0.8</v>
      </c>
      <c r="AO10" s="8">
        <v>0.8</v>
      </c>
      <c r="AP10" s="8">
        <v>1</v>
      </c>
      <c r="AQ10" s="8">
        <v>1</v>
      </c>
      <c r="AR10" s="8">
        <v>1</v>
      </c>
      <c r="AS10" s="50">
        <v>1</v>
      </c>
    </row>
    <row r="11" spans="1:45" x14ac:dyDescent="0.4">
      <c r="A11" s="140">
        <f>B11</f>
        <v>0.16</v>
      </c>
      <c r="B11" s="142">
        <f t="shared" ref="B11" si="10">C11</f>
        <v>0.16</v>
      </c>
      <c r="C11" s="142">
        <f t="shared" ref="C11" si="11">D11</f>
        <v>0.16</v>
      </c>
      <c r="D11" s="108">
        <f t="shared" si="2"/>
        <v>0.16</v>
      </c>
      <c r="F11" s="115" t="s">
        <v>689</v>
      </c>
      <c r="G11" s="122">
        <v>1</v>
      </c>
      <c r="H11" s="122">
        <v>0.4</v>
      </c>
      <c r="I11" s="46">
        <f t="shared" si="4"/>
        <v>0.216</v>
      </c>
      <c r="J11" s="46">
        <v>2</v>
      </c>
      <c r="K11" s="46">
        <f t="shared" si="5"/>
        <v>1.7401924</v>
      </c>
      <c r="L11" s="47">
        <f t="shared" si="6"/>
        <v>1.5669999999999999</v>
      </c>
      <c r="N11" s="51">
        <v>6</v>
      </c>
      <c r="O11" s="8">
        <v>6.4</v>
      </c>
      <c r="P11" s="8">
        <v>12</v>
      </c>
      <c r="Q11" s="50">
        <v>1.6</v>
      </c>
      <c r="S11" s="115">
        <v>2</v>
      </c>
      <c r="T11" s="122">
        <v>2.2000000000000002</v>
      </c>
      <c r="U11" s="8">
        <v>2.4</v>
      </c>
      <c r="V11" s="122">
        <v>0.3</v>
      </c>
      <c r="W11" s="116">
        <v>7</v>
      </c>
      <c r="Y11" s="172"/>
      <c r="Z11" s="116" t="s">
        <v>712</v>
      </c>
      <c r="AA11" s="85">
        <v>0.1</v>
      </c>
      <c r="AB11" s="8">
        <v>0.1</v>
      </c>
      <c r="AC11" s="8">
        <v>0.1</v>
      </c>
      <c r="AD11" s="8">
        <v>0.15</v>
      </c>
      <c r="AE11" s="8">
        <v>0.15</v>
      </c>
      <c r="AF11" s="8">
        <v>0.15</v>
      </c>
      <c r="AG11" s="8">
        <v>0.15</v>
      </c>
      <c r="AH11" s="8">
        <v>0.15</v>
      </c>
      <c r="AI11" s="8">
        <v>0.15</v>
      </c>
      <c r="AJ11" s="8">
        <v>0.15</v>
      </c>
      <c r="AK11" s="8">
        <v>0.2</v>
      </c>
      <c r="AL11" s="8">
        <v>0.2</v>
      </c>
      <c r="AM11" s="8">
        <v>0.2</v>
      </c>
      <c r="AN11" s="8">
        <v>0.2</v>
      </c>
      <c r="AO11" s="8">
        <v>0.2</v>
      </c>
      <c r="AP11" s="8">
        <v>0.3</v>
      </c>
      <c r="AQ11" s="8">
        <v>0.3</v>
      </c>
      <c r="AR11" s="8">
        <v>0.3</v>
      </c>
      <c r="AS11" s="50">
        <v>0.3</v>
      </c>
    </row>
    <row r="12" spans="1:45" x14ac:dyDescent="0.4">
      <c r="A12" s="141"/>
      <c r="B12" s="143"/>
      <c r="C12" s="143"/>
      <c r="D12" s="108">
        <f t="shared" si="2"/>
        <v>0.16999999999999998</v>
      </c>
      <c r="F12" s="115" t="s">
        <v>713</v>
      </c>
      <c r="G12" s="122">
        <v>2</v>
      </c>
      <c r="H12" s="122">
        <v>0.45</v>
      </c>
      <c r="I12" s="46">
        <f t="shared" si="4"/>
        <v>0.24299999999999999</v>
      </c>
      <c r="J12" s="46">
        <v>2.2000000000000002</v>
      </c>
      <c r="K12" s="46">
        <f t="shared" si="5"/>
        <v>1.9077164500000001</v>
      </c>
      <c r="L12" s="47">
        <f t="shared" si="6"/>
        <v>1.7130000000000001</v>
      </c>
      <c r="N12" s="51">
        <v>8</v>
      </c>
      <c r="O12" s="8">
        <v>8.4</v>
      </c>
      <c r="P12" s="8">
        <v>16</v>
      </c>
      <c r="Q12" s="50">
        <v>1.6</v>
      </c>
      <c r="S12" s="115">
        <v>2.2000000000000002</v>
      </c>
      <c r="T12" s="122">
        <v>2.4</v>
      </c>
      <c r="U12" s="8">
        <v>2.6</v>
      </c>
      <c r="V12" s="122">
        <f t="shared" ref="V12:V17" si="12">V11</f>
        <v>0.3</v>
      </c>
      <c r="W12" s="116">
        <v>8</v>
      </c>
      <c r="Y12" s="172" t="s">
        <v>714</v>
      </c>
      <c r="Z12" s="116" t="str">
        <f>Z10</f>
        <v>最大</v>
      </c>
      <c r="AA12" s="85">
        <v>1.84</v>
      </c>
      <c r="AB12" s="8">
        <v>2.2999999999999998</v>
      </c>
      <c r="AC12" s="8">
        <v>2.9</v>
      </c>
      <c r="AD12" s="8">
        <v>3.45</v>
      </c>
      <c r="AE12" s="8">
        <v>4.5999999999999996</v>
      </c>
      <c r="AF12" s="8">
        <v>5.75</v>
      </c>
      <c r="AG12" s="8">
        <v>6.75</v>
      </c>
      <c r="AH12" s="8">
        <v>8.75</v>
      </c>
      <c r="AI12" s="8">
        <v>10.8</v>
      </c>
      <c r="AJ12" s="8">
        <v>13</v>
      </c>
      <c r="AK12" s="8">
        <v>17.3</v>
      </c>
      <c r="AL12" s="8">
        <v>21.6</v>
      </c>
      <c r="AM12" s="8">
        <v>25.9</v>
      </c>
      <c r="AN12" s="8">
        <v>32.4</v>
      </c>
      <c r="AO12" s="8">
        <v>38.9</v>
      </c>
      <c r="AP12" s="8">
        <v>45.4</v>
      </c>
      <c r="AQ12" s="8">
        <v>51.8</v>
      </c>
      <c r="AR12" s="8">
        <v>60.5</v>
      </c>
      <c r="AS12" s="50">
        <v>69.099999999999994</v>
      </c>
    </row>
    <row r="13" spans="1:45" x14ac:dyDescent="0.4">
      <c r="A13" s="141"/>
      <c r="B13" s="143"/>
      <c r="C13" s="142">
        <f t="shared" ref="C13" si="13">D13</f>
        <v>0.18</v>
      </c>
      <c r="D13" s="108">
        <f t="shared" si="2"/>
        <v>0.18</v>
      </c>
      <c r="F13" s="115" t="s">
        <v>690</v>
      </c>
      <c r="G13" s="122">
        <v>1</v>
      </c>
      <c r="H13" s="122">
        <v>0.45</v>
      </c>
      <c r="I13" s="46">
        <f t="shared" si="4"/>
        <v>0.24299999999999999</v>
      </c>
      <c r="J13" s="46">
        <v>2.5</v>
      </c>
      <c r="K13" s="46">
        <f t="shared" si="5"/>
        <v>2.2077164499999999</v>
      </c>
      <c r="L13" s="47">
        <f t="shared" si="6"/>
        <v>2.0129999999999999</v>
      </c>
      <c r="N13" s="51">
        <v>10</v>
      </c>
      <c r="O13" s="8">
        <v>10.5</v>
      </c>
      <c r="P13" s="8">
        <v>20</v>
      </c>
      <c r="Q13" s="50">
        <v>2</v>
      </c>
      <c r="S13" s="115">
        <v>2.2999999999999998</v>
      </c>
      <c r="T13" s="122">
        <v>2.5</v>
      </c>
      <c r="U13" s="8">
        <v>2.7</v>
      </c>
      <c r="V13" s="122">
        <f t="shared" si="12"/>
        <v>0.3</v>
      </c>
      <c r="W13" s="116">
        <v>8</v>
      </c>
      <c r="Y13" s="172"/>
      <c r="Z13" s="116" t="str">
        <f>Z11</f>
        <v>最小</v>
      </c>
      <c r="AA13" s="85">
        <f>AA8</f>
        <v>1.6</v>
      </c>
      <c r="AB13" s="8">
        <f t="shared" ref="AB13:AS13" si="14">AB8</f>
        <v>2</v>
      </c>
      <c r="AC13" s="8">
        <f t="shared" si="14"/>
        <v>2.5</v>
      </c>
      <c r="AD13" s="8">
        <f t="shared" si="14"/>
        <v>3</v>
      </c>
      <c r="AE13" s="8">
        <f t="shared" si="14"/>
        <v>4</v>
      </c>
      <c r="AF13" s="8">
        <f t="shared" si="14"/>
        <v>5</v>
      </c>
      <c r="AG13" s="8">
        <f t="shared" si="14"/>
        <v>6</v>
      </c>
      <c r="AH13" s="8">
        <f t="shared" si="14"/>
        <v>8</v>
      </c>
      <c r="AI13" s="8">
        <f t="shared" si="14"/>
        <v>10</v>
      </c>
      <c r="AJ13" s="8">
        <f t="shared" si="14"/>
        <v>12</v>
      </c>
      <c r="AK13" s="8">
        <f t="shared" si="14"/>
        <v>16</v>
      </c>
      <c r="AL13" s="8">
        <f t="shared" si="14"/>
        <v>20</v>
      </c>
      <c r="AM13" s="8">
        <f t="shared" si="14"/>
        <v>24</v>
      </c>
      <c r="AN13" s="8">
        <f t="shared" si="14"/>
        <v>30</v>
      </c>
      <c r="AO13" s="8">
        <f t="shared" si="14"/>
        <v>36</v>
      </c>
      <c r="AP13" s="8">
        <f t="shared" si="14"/>
        <v>42</v>
      </c>
      <c r="AQ13" s="8">
        <f t="shared" si="14"/>
        <v>48</v>
      </c>
      <c r="AR13" s="8">
        <f t="shared" si="14"/>
        <v>56</v>
      </c>
      <c r="AS13" s="50">
        <f t="shared" si="14"/>
        <v>64</v>
      </c>
    </row>
    <row r="14" spans="1:45" x14ac:dyDescent="0.4">
      <c r="A14" s="141"/>
      <c r="B14" s="143"/>
      <c r="C14" s="143"/>
      <c r="D14" s="108">
        <f t="shared" si="2"/>
        <v>0.19</v>
      </c>
      <c r="F14" s="115" t="s">
        <v>691</v>
      </c>
      <c r="G14" s="122">
        <v>1</v>
      </c>
      <c r="H14" s="122">
        <v>0.5</v>
      </c>
      <c r="I14" s="46">
        <f t="shared" si="4"/>
        <v>0.27</v>
      </c>
      <c r="J14" s="46">
        <v>3</v>
      </c>
      <c r="K14" s="46">
        <f t="shared" si="5"/>
        <v>2.6752405000000001</v>
      </c>
      <c r="L14" s="47">
        <f t="shared" si="6"/>
        <v>2.4590000000000001</v>
      </c>
      <c r="N14" s="51">
        <v>12</v>
      </c>
      <c r="O14" s="8">
        <v>13</v>
      </c>
      <c r="P14" s="8">
        <v>24</v>
      </c>
      <c r="Q14" s="50">
        <v>2.5</v>
      </c>
      <c r="S14" s="115">
        <v>2.5</v>
      </c>
      <c r="T14" s="122">
        <v>2.7</v>
      </c>
      <c r="U14" s="8">
        <v>2.9</v>
      </c>
      <c r="V14" s="122">
        <f t="shared" si="12"/>
        <v>0.3</v>
      </c>
      <c r="W14" s="116">
        <v>8</v>
      </c>
      <c r="Y14" s="115" t="s">
        <v>6</v>
      </c>
      <c r="Z14" s="116" t="str">
        <f>Z13</f>
        <v>最小</v>
      </c>
      <c r="AA14" s="85">
        <v>2.4</v>
      </c>
      <c r="AB14" s="8">
        <v>3.1</v>
      </c>
      <c r="AC14" s="8">
        <v>4.0999999999999996</v>
      </c>
      <c r="AD14" s="8">
        <v>4.5999999999999996</v>
      </c>
      <c r="AE14" s="8">
        <v>5.9</v>
      </c>
      <c r="AF14" s="8">
        <v>6.9</v>
      </c>
      <c r="AG14" s="8">
        <v>8.9</v>
      </c>
      <c r="AH14" s="8">
        <v>11.6</v>
      </c>
      <c r="AI14" s="8">
        <v>14.6</v>
      </c>
      <c r="AJ14" s="8">
        <v>16.600000000000001</v>
      </c>
      <c r="AK14" s="8">
        <v>22.5</v>
      </c>
      <c r="AL14" s="8">
        <v>27.7</v>
      </c>
      <c r="AM14" s="8">
        <v>33.299999999999997</v>
      </c>
      <c r="AN14" s="8">
        <v>42.8</v>
      </c>
      <c r="AO14" s="8">
        <v>51.1</v>
      </c>
      <c r="AP14" s="8">
        <v>60</v>
      </c>
      <c r="AQ14" s="8">
        <v>69.5</v>
      </c>
      <c r="AR14" s="8">
        <v>78.7</v>
      </c>
      <c r="AS14" s="50">
        <v>88.2</v>
      </c>
    </row>
    <row r="15" spans="1:45" x14ac:dyDescent="0.4">
      <c r="A15" s="141"/>
      <c r="B15" s="142">
        <f t="shared" ref="B15" si="15">C15</f>
        <v>0.2</v>
      </c>
      <c r="C15" s="142">
        <f t="shared" ref="C15" si="16">D15</f>
        <v>0.2</v>
      </c>
      <c r="D15" s="108">
        <f t="shared" si="2"/>
        <v>0.2</v>
      </c>
      <c r="F15" s="115" t="s">
        <v>715</v>
      </c>
      <c r="G15" s="122">
        <v>2</v>
      </c>
      <c r="H15" s="122">
        <v>0.6</v>
      </c>
      <c r="I15" s="46">
        <f t="shared" si="4"/>
        <v>0.32500000000000001</v>
      </c>
      <c r="J15" s="46">
        <v>3.5</v>
      </c>
      <c r="K15" s="46">
        <f t="shared" si="5"/>
        <v>3.1102886000000001</v>
      </c>
      <c r="L15" s="47">
        <f t="shared" si="6"/>
        <v>2.85</v>
      </c>
      <c r="N15" s="51">
        <v>16</v>
      </c>
      <c r="O15" s="8">
        <v>17</v>
      </c>
      <c r="P15" s="8">
        <v>30</v>
      </c>
      <c r="Q15" s="50">
        <v>3</v>
      </c>
      <c r="S15" s="115">
        <v>2.6</v>
      </c>
      <c r="T15" s="122">
        <v>2.8</v>
      </c>
      <c r="U15" s="8">
        <v>3</v>
      </c>
      <c r="V15" s="122">
        <f t="shared" si="12"/>
        <v>0.3</v>
      </c>
      <c r="W15" s="116">
        <v>8</v>
      </c>
      <c r="Y15" s="115" t="s">
        <v>295</v>
      </c>
      <c r="Z15" s="116" t="str">
        <f>Z14</f>
        <v>最小</v>
      </c>
      <c r="AA15" s="85">
        <v>3.41</v>
      </c>
      <c r="AB15" s="8">
        <v>4.32</v>
      </c>
      <c r="AC15" s="8">
        <v>5.45</v>
      </c>
      <c r="AD15" s="8">
        <v>6.01</v>
      </c>
      <c r="AE15" s="8">
        <v>7.66</v>
      </c>
      <c r="AF15" s="8">
        <v>8.7899999999999991</v>
      </c>
      <c r="AG15" s="8">
        <v>11.05</v>
      </c>
      <c r="AH15" s="8">
        <v>14.38</v>
      </c>
      <c r="AI15" s="8">
        <v>17.77</v>
      </c>
      <c r="AJ15" s="8">
        <v>20.03</v>
      </c>
      <c r="AK15" s="8">
        <v>26.75</v>
      </c>
      <c r="AL15" s="8">
        <v>32.950000000000003</v>
      </c>
      <c r="AM15" s="8">
        <v>39.549999999999997</v>
      </c>
      <c r="AN15" s="8">
        <v>50.85</v>
      </c>
      <c r="AO15" s="8">
        <v>60.79</v>
      </c>
      <c r="AP15" s="8">
        <v>71.3</v>
      </c>
      <c r="AQ15" s="8">
        <v>82.6</v>
      </c>
      <c r="AR15" s="8">
        <v>93.56</v>
      </c>
      <c r="AS15" s="50">
        <v>104.86</v>
      </c>
    </row>
    <row r="16" spans="1:45" x14ac:dyDescent="0.4">
      <c r="A16" s="141"/>
      <c r="B16" s="143"/>
      <c r="C16" s="143"/>
      <c r="D16" s="108">
        <f t="shared" si="2"/>
        <v>0.21200000000000002</v>
      </c>
      <c r="F16" s="115" t="s">
        <v>692</v>
      </c>
      <c r="G16" s="122">
        <v>1</v>
      </c>
      <c r="H16" s="122">
        <v>0.7</v>
      </c>
      <c r="I16" s="46">
        <f t="shared" si="4"/>
        <v>0.379</v>
      </c>
      <c r="J16" s="46">
        <v>4</v>
      </c>
      <c r="K16" s="46">
        <f t="shared" si="5"/>
        <v>3.5453367</v>
      </c>
      <c r="L16" s="47">
        <f t="shared" si="6"/>
        <v>3.242</v>
      </c>
      <c r="N16" s="51">
        <v>20</v>
      </c>
      <c r="O16" s="8">
        <v>21</v>
      </c>
      <c r="P16" s="8">
        <v>37</v>
      </c>
      <c r="Q16" s="50">
        <v>3</v>
      </c>
      <c r="S16" s="115">
        <v>3</v>
      </c>
      <c r="T16" s="122">
        <v>3.2</v>
      </c>
      <c r="U16" s="8">
        <v>3.4</v>
      </c>
      <c r="V16" s="122">
        <f t="shared" si="12"/>
        <v>0.3</v>
      </c>
      <c r="W16" s="116">
        <v>9</v>
      </c>
      <c r="Y16" s="172" t="s">
        <v>7</v>
      </c>
      <c r="Z16" s="116" t="str">
        <f>Z12</f>
        <v>最大</v>
      </c>
      <c r="AA16" s="85">
        <v>1.3</v>
      </c>
      <c r="AB16" s="8">
        <v>1.6</v>
      </c>
      <c r="AC16" s="8">
        <v>2</v>
      </c>
      <c r="AD16" s="8">
        <v>2.4</v>
      </c>
      <c r="AE16" s="8">
        <v>3.2</v>
      </c>
      <c r="AF16" s="8">
        <v>4.7</v>
      </c>
      <c r="AG16" s="8">
        <v>5.2</v>
      </c>
      <c r="AH16" s="8">
        <v>6.8</v>
      </c>
      <c r="AI16" s="8">
        <v>8.4</v>
      </c>
      <c r="AJ16" s="8">
        <v>10.8</v>
      </c>
      <c r="AK16" s="8">
        <v>14.8</v>
      </c>
      <c r="AL16" s="8">
        <v>18</v>
      </c>
      <c r="AM16" s="8">
        <v>21.5</v>
      </c>
      <c r="AN16" s="8">
        <v>25.6</v>
      </c>
      <c r="AO16" s="8">
        <v>31</v>
      </c>
      <c r="AP16" s="8">
        <v>34</v>
      </c>
      <c r="AQ16" s="8">
        <v>38</v>
      </c>
      <c r="AR16" s="8">
        <v>45</v>
      </c>
      <c r="AS16" s="50">
        <v>51</v>
      </c>
    </row>
    <row r="17" spans="1:45" x14ac:dyDescent="0.4">
      <c r="A17" s="141"/>
      <c r="B17" s="143"/>
      <c r="C17" s="142">
        <f t="shared" ref="C17" si="17">D17</f>
        <v>0.22400000000000003</v>
      </c>
      <c r="D17" s="108">
        <f t="shared" si="2"/>
        <v>0.22400000000000003</v>
      </c>
      <c r="F17" s="115" t="s">
        <v>716</v>
      </c>
      <c r="G17" s="122">
        <v>2</v>
      </c>
      <c r="H17" s="122">
        <v>0.75</v>
      </c>
      <c r="I17" s="46">
        <f t="shared" si="4"/>
        <v>0.40600000000000003</v>
      </c>
      <c r="J17" s="46">
        <v>4.5</v>
      </c>
      <c r="K17" s="46">
        <f t="shared" si="5"/>
        <v>4.0128607499999998</v>
      </c>
      <c r="L17" s="47">
        <f t="shared" si="6"/>
        <v>3.6880000000000002</v>
      </c>
      <c r="N17" s="51">
        <v>24</v>
      </c>
      <c r="O17" s="8">
        <v>25</v>
      </c>
      <c r="P17" s="8">
        <v>44</v>
      </c>
      <c r="Q17" s="50">
        <v>4</v>
      </c>
      <c r="S17" s="115">
        <v>3.5</v>
      </c>
      <c r="T17" s="122">
        <v>3.7</v>
      </c>
      <c r="U17" s="8">
        <v>3.9</v>
      </c>
      <c r="V17" s="122">
        <f t="shared" si="12"/>
        <v>0.3</v>
      </c>
      <c r="W17" s="116">
        <v>10</v>
      </c>
      <c r="Y17" s="172"/>
      <c r="Z17" s="116" t="str">
        <f>Z15</f>
        <v>最小</v>
      </c>
      <c r="AA17" s="85">
        <v>1.05</v>
      </c>
      <c r="AB17" s="8">
        <v>1.35</v>
      </c>
      <c r="AC17" s="8">
        <v>1.75</v>
      </c>
      <c r="AD17" s="8">
        <v>2.15</v>
      </c>
      <c r="AE17" s="8">
        <v>2.9</v>
      </c>
      <c r="AF17" s="8">
        <v>4.4000000000000004</v>
      </c>
      <c r="AG17" s="8">
        <v>4.9000000000000004</v>
      </c>
      <c r="AH17" s="8">
        <v>6.44</v>
      </c>
      <c r="AI17" s="8">
        <v>8.0399999999999991</v>
      </c>
      <c r="AJ17" s="8">
        <v>10.37</v>
      </c>
      <c r="AK17" s="8">
        <v>14.1</v>
      </c>
      <c r="AL17" s="8">
        <v>16.899999999999999</v>
      </c>
      <c r="AM17" s="8">
        <v>20.2</v>
      </c>
      <c r="AN17" s="8">
        <v>24.3</v>
      </c>
      <c r="AO17" s="8">
        <v>29.4</v>
      </c>
      <c r="AP17" s="8">
        <v>32.4</v>
      </c>
      <c r="AQ17" s="8">
        <v>36.4</v>
      </c>
      <c r="AR17" s="8">
        <v>43.4</v>
      </c>
      <c r="AS17" s="50">
        <v>49.1</v>
      </c>
    </row>
    <row r="18" spans="1:45" x14ac:dyDescent="0.4">
      <c r="A18" s="141"/>
      <c r="B18" s="143"/>
      <c r="C18" s="143"/>
      <c r="D18" s="108">
        <f t="shared" si="2"/>
        <v>0.23599999999999999</v>
      </c>
      <c r="F18" s="115" t="s">
        <v>693</v>
      </c>
      <c r="G18" s="122">
        <v>1</v>
      </c>
      <c r="H18" s="122">
        <v>0.8</v>
      </c>
      <c r="I18" s="46">
        <f t="shared" si="4"/>
        <v>0.433</v>
      </c>
      <c r="J18" s="46">
        <v>5</v>
      </c>
      <c r="K18" s="46">
        <f t="shared" si="5"/>
        <v>4.4803848000000004</v>
      </c>
      <c r="L18" s="47">
        <f t="shared" si="6"/>
        <v>4.1340000000000003</v>
      </c>
      <c r="N18" s="51">
        <v>30</v>
      </c>
      <c r="O18" s="8">
        <v>31</v>
      </c>
      <c r="P18" s="8">
        <v>56</v>
      </c>
      <c r="Q18" s="50">
        <v>4</v>
      </c>
      <c r="S18" s="115">
        <v>4</v>
      </c>
      <c r="T18" s="122">
        <v>4.3</v>
      </c>
      <c r="U18" s="8">
        <v>4.5</v>
      </c>
      <c r="V18" s="122">
        <v>0.4</v>
      </c>
      <c r="W18" s="116">
        <v>11</v>
      </c>
      <c r="Y18" s="115" t="s">
        <v>717</v>
      </c>
      <c r="Z18" s="116" t="str">
        <f>Z17</f>
        <v>最小</v>
      </c>
      <c r="AA18" s="85">
        <v>0.8</v>
      </c>
      <c r="AB18" s="8">
        <v>1.1000000000000001</v>
      </c>
      <c r="AC18" s="8">
        <v>1.4</v>
      </c>
      <c r="AD18" s="8">
        <v>1.7</v>
      </c>
      <c r="AE18" s="8">
        <v>2.2999999999999998</v>
      </c>
      <c r="AF18" s="8">
        <v>3.5</v>
      </c>
      <c r="AG18" s="8">
        <v>3.9</v>
      </c>
      <c r="AH18" s="8">
        <v>5.2</v>
      </c>
      <c r="AI18" s="8">
        <v>6.4</v>
      </c>
      <c r="AJ18" s="8">
        <v>8.3000000000000007</v>
      </c>
      <c r="AK18" s="8">
        <v>11.3</v>
      </c>
      <c r="AL18" s="8">
        <v>13.5</v>
      </c>
      <c r="AM18" s="8">
        <v>16.2</v>
      </c>
      <c r="AN18" s="8">
        <v>19.399999999999999</v>
      </c>
      <c r="AO18" s="8">
        <v>23.5</v>
      </c>
      <c r="AP18" s="8">
        <v>25.9</v>
      </c>
      <c r="AQ18" s="8">
        <v>29.1</v>
      </c>
      <c r="AR18" s="8">
        <v>34.700000000000003</v>
      </c>
      <c r="AS18" s="50">
        <v>39.299999999999997</v>
      </c>
    </row>
    <row r="19" spans="1:45" x14ac:dyDescent="0.4">
      <c r="A19" s="140">
        <f>B19</f>
        <v>0.25</v>
      </c>
      <c r="B19" s="142">
        <f t="shared" ref="B19" si="18">C19</f>
        <v>0.25</v>
      </c>
      <c r="C19" s="142">
        <f t="shared" ref="C19" si="19">D19</f>
        <v>0.25</v>
      </c>
      <c r="D19" s="108">
        <f t="shared" si="2"/>
        <v>0.25</v>
      </c>
      <c r="F19" s="115" t="s">
        <v>694</v>
      </c>
      <c r="G19" s="122">
        <v>1</v>
      </c>
      <c r="H19" s="122">
        <v>1</v>
      </c>
      <c r="I19" s="46">
        <f t="shared" si="4"/>
        <v>0.54100000000000004</v>
      </c>
      <c r="J19" s="46">
        <v>6</v>
      </c>
      <c r="K19" s="46">
        <f t="shared" si="5"/>
        <v>5.3504810000000003</v>
      </c>
      <c r="L19" s="47">
        <f t="shared" si="6"/>
        <v>4.9169999999999998</v>
      </c>
      <c r="N19" s="51">
        <v>36</v>
      </c>
      <c r="O19" s="8">
        <v>37</v>
      </c>
      <c r="P19" s="8">
        <v>66</v>
      </c>
      <c r="Q19" s="50">
        <v>5</v>
      </c>
      <c r="S19" s="115">
        <v>4.5</v>
      </c>
      <c r="T19" s="122">
        <v>4.8</v>
      </c>
      <c r="U19" s="8">
        <v>5</v>
      </c>
      <c r="V19" s="122">
        <f>V18</f>
        <v>0.4</v>
      </c>
      <c r="W19" s="116">
        <v>13</v>
      </c>
      <c r="Y19" s="172" t="s">
        <v>718</v>
      </c>
      <c r="Z19" s="116" t="s">
        <v>719</v>
      </c>
      <c r="AA19" s="85">
        <v>3.2</v>
      </c>
      <c r="AB19" s="8">
        <v>4</v>
      </c>
      <c r="AC19" s="8">
        <v>5</v>
      </c>
      <c r="AD19" s="8">
        <v>5.5</v>
      </c>
      <c r="AE19" s="8">
        <v>7</v>
      </c>
      <c r="AF19" s="8">
        <v>8</v>
      </c>
      <c r="AG19" s="8">
        <v>10</v>
      </c>
      <c r="AH19" s="8">
        <v>13</v>
      </c>
      <c r="AI19" s="8">
        <v>16</v>
      </c>
      <c r="AJ19" s="8">
        <v>18</v>
      </c>
      <c r="AK19" s="8">
        <v>24</v>
      </c>
      <c r="AL19" s="8">
        <v>30</v>
      </c>
      <c r="AM19" s="8">
        <v>36</v>
      </c>
      <c r="AN19" s="8">
        <v>46</v>
      </c>
      <c r="AO19" s="8">
        <v>55</v>
      </c>
      <c r="AP19" s="8">
        <v>65</v>
      </c>
      <c r="AQ19" s="8">
        <v>75</v>
      </c>
      <c r="AR19" s="8">
        <v>85</v>
      </c>
      <c r="AS19" s="50">
        <v>95</v>
      </c>
    </row>
    <row r="20" spans="1:45" ht="19.5" thickBot="1" x14ac:dyDescent="0.45">
      <c r="A20" s="141"/>
      <c r="B20" s="143"/>
      <c r="C20" s="143"/>
      <c r="D20" s="108">
        <f t="shared" si="2"/>
        <v>0.26500000000000001</v>
      </c>
      <c r="F20" s="115" t="s">
        <v>720</v>
      </c>
      <c r="G20" s="122">
        <v>2</v>
      </c>
      <c r="H20" s="122">
        <v>1</v>
      </c>
      <c r="I20" s="46">
        <f t="shared" si="4"/>
        <v>0.54100000000000004</v>
      </c>
      <c r="J20" s="46">
        <v>7</v>
      </c>
      <c r="K20" s="46">
        <f t="shared" si="5"/>
        <v>6.3504810000000003</v>
      </c>
      <c r="L20" s="47">
        <f t="shared" si="6"/>
        <v>5.9169999999999998</v>
      </c>
      <c r="N20" s="51">
        <v>42</v>
      </c>
      <c r="O20" s="8">
        <v>45</v>
      </c>
      <c r="P20" s="8">
        <v>78</v>
      </c>
      <c r="Q20" s="50">
        <v>8</v>
      </c>
      <c r="S20" s="115">
        <v>5</v>
      </c>
      <c r="T20" s="122">
        <v>5.3</v>
      </c>
      <c r="U20" s="8">
        <v>5.5</v>
      </c>
      <c r="V20" s="122">
        <f>V19</f>
        <v>0.4</v>
      </c>
      <c r="W20" s="116">
        <v>13</v>
      </c>
      <c r="Y20" s="173"/>
      <c r="Z20" s="128" t="str">
        <f>Z18</f>
        <v>最小</v>
      </c>
      <c r="AA20" s="86">
        <v>3.02</v>
      </c>
      <c r="AB20" s="53">
        <v>3.82</v>
      </c>
      <c r="AC20" s="53">
        <v>4.82</v>
      </c>
      <c r="AD20" s="53">
        <v>5.32</v>
      </c>
      <c r="AE20" s="53">
        <v>6.78</v>
      </c>
      <c r="AF20" s="53">
        <v>7.78</v>
      </c>
      <c r="AG20" s="53">
        <v>9.7799999999999994</v>
      </c>
      <c r="AH20" s="53">
        <v>12.73</v>
      </c>
      <c r="AI20" s="53">
        <v>15.73</v>
      </c>
      <c r="AJ20" s="53">
        <v>17.73</v>
      </c>
      <c r="AK20" s="53">
        <v>23.67</v>
      </c>
      <c r="AL20" s="53">
        <v>29.16</v>
      </c>
      <c r="AM20" s="53">
        <v>35</v>
      </c>
      <c r="AN20" s="53">
        <v>45</v>
      </c>
      <c r="AO20" s="53">
        <v>53.8</v>
      </c>
      <c r="AP20" s="53">
        <v>63.1</v>
      </c>
      <c r="AQ20" s="53">
        <v>73.099999999999994</v>
      </c>
      <c r="AR20" s="53">
        <v>82.8</v>
      </c>
      <c r="AS20" s="54">
        <v>92.8</v>
      </c>
    </row>
    <row r="21" spans="1:45" x14ac:dyDescent="0.4">
      <c r="A21" s="141"/>
      <c r="B21" s="143"/>
      <c r="C21" s="142">
        <f t="shared" ref="C21" si="20">D21</f>
        <v>0.27999999999999997</v>
      </c>
      <c r="D21" s="108">
        <f t="shared" si="2"/>
        <v>0.27999999999999997</v>
      </c>
      <c r="F21" s="115" t="s">
        <v>695</v>
      </c>
      <c r="G21" s="122">
        <v>1</v>
      </c>
      <c r="H21" s="122">
        <v>1.25</v>
      </c>
      <c r="I21" s="46">
        <f t="shared" si="4"/>
        <v>0.67600000000000005</v>
      </c>
      <c r="J21" s="46">
        <v>8</v>
      </c>
      <c r="K21" s="46">
        <f t="shared" si="5"/>
        <v>7.1881012499999999</v>
      </c>
      <c r="L21" s="47">
        <f t="shared" si="6"/>
        <v>6.6470000000000002</v>
      </c>
      <c r="N21" s="51">
        <v>48</v>
      </c>
      <c r="O21" s="8">
        <v>52</v>
      </c>
      <c r="P21" s="8">
        <v>92</v>
      </c>
      <c r="Q21" s="50">
        <v>8</v>
      </c>
      <c r="S21" s="115">
        <v>6</v>
      </c>
      <c r="T21" s="122">
        <v>6.4</v>
      </c>
      <c r="U21" s="8">
        <v>6.6</v>
      </c>
      <c r="V21" s="122">
        <f>V20</f>
        <v>0.4</v>
      </c>
      <c r="W21" s="116">
        <v>15</v>
      </c>
    </row>
    <row r="22" spans="1:45" x14ac:dyDescent="0.4">
      <c r="A22" s="141"/>
      <c r="B22" s="143"/>
      <c r="C22" s="143"/>
      <c r="D22" s="108">
        <f t="shared" si="2"/>
        <v>0.3</v>
      </c>
      <c r="F22" s="115" t="s">
        <v>721</v>
      </c>
      <c r="G22" s="122">
        <v>3</v>
      </c>
      <c r="H22" s="122">
        <v>1.25</v>
      </c>
      <c r="I22" s="46">
        <f t="shared" si="4"/>
        <v>0.67600000000000005</v>
      </c>
      <c r="J22" s="46">
        <v>9</v>
      </c>
      <c r="K22" s="46">
        <f t="shared" si="5"/>
        <v>8.1881012500000008</v>
      </c>
      <c r="L22" s="47">
        <f t="shared" si="6"/>
        <v>7.6470000000000002</v>
      </c>
      <c r="N22" s="51">
        <v>56</v>
      </c>
      <c r="O22" s="8">
        <v>62</v>
      </c>
      <c r="P22" s="8">
        <v>105</v>
      </c>
      <c r="Q22" s="50">
        <v>10</v>
      </c>
      <c r="S22" s="115">
        <v>7</v>
      </c>
      <c r="T22" s="122">
        <v>7.4</v>
      </c>
      <c r="U22" s="8">
        <v>7.6</v>
      </c>
      <c r="V22" s="122">
        <f>V21</f>
        <v>0.4</v>
      </c>
      <c r="W22" s="116">
        <v>18</v>
      </c>
    </row>
    <row r="23" spans="1:45" ht="19.5" thickBot="1" x14ac:dyDescent="0.45">
      <c r="A23" s="141"/>
      <c r="B23" s="142">
        <f t="shared" ref="B23" si="21">C23</f>
        <v>0.315</v>
      </c>
      <c r="C23" s="142">
        <f t="shared" ref="C23" si="22">D23</f>
        <v>0.315</v>
      </c>
      <c r="D23" s="108">
        <f t="shared" si="2"/>
        <v>0.315</v>
      </c>
      <c r="F23" s="115" t="s">
        <v>696</v>
      </c>
      <c r="G23" s="122">
        <v>1</v>
      </c>
      <c r="H23" s="122">
        <v>1.5</v>
      </c>
      <c r="I23" s="46">
        <f t="shared" si="4"/>
        <v>0.81200000000000006</v>
      </c>
      <c r="J23" s="46">
        <v>10</v>
      </c>
      <c r="K23" s="46">
        <f t="shared" si="5"/>
        <v>9.0257214999999995</v>
      </c>
      <c r="L23" s="47">
        <f t="shared" si="6"/>
        <v>8.3759999999999994</v>
      </c>
      <c r="N23" s="52">
        <v>64</v>
      </c>
      <c r="O23" s="53">
        <v>70</v>
      </c>
      <c r="P23" s="53">
        <v>115</v>
      </c>
      <c r="Q23" s="54">
        <v>10</v>
      </c>
      <c r="S23" s="115">
        <v>8</v>
      </c>
      <c r="T23" s="122">
        <v>8.4</v>
      </c>
      <c r="U23" s="8">
        <v>9</v>
      </c>
      <c r="V23" s="122">
        <v>0.6</v>
      </c>
      <c r="W23" s="116">
        <v>20</v>
      </c>
    </row>
    <row r="24" spans="1:45" x14ac:dyDescent="0.4">
      <c r="A24" s="141"/>
      <c r="B24" s="143"/>
      <c r="C24" s="143"/>
      <c r="D24" s="108">
        <f t="shared" si="2"/>
        <v>0.33500000000000002</v>
      </c>
      <c r="F24" s="115" t="s">
        <v>722</v>
      </c>
      <c r="G24" s="122">
        <v>3</v>
      </c>
      <c r="H24" s="122">
        <v>1.5</v>
      </c>
      <c r="I24" s="46">
        <f t="shared" si="4"/>
        <v>0.81200000000000006</v>
      </c>
      <c r="J24" s="46">
        <v>11</v>
      </c>
      <c r="K24" s="46">
        <f t="shared" si="5"/>
        <v>10.0257215</v>
      </c>
      <c r="L24" s="47">
        <f t="shared" si="6"/>
        <v>9.3759999999999994</v>
      </c>
      <c r="S24" s="115">
        <v>10</v>
      </c>
      <c r="T24" s="122">
        <v>10.5</v>
      </c>
      <c r="U24" s="8">
        <v>11</v>
      </c>
      <c r="V24" s="122">
        <f>V23</f>
        <v>0.6</v>
      </c>
      <c r="W24" s="116">
        <v>24</v>
      </c>
    </row>
    <row r="25" spans="1:45" x14ac:dyDescent="0.4">
      <c r="A25" s="141"/>
      <c r="B25" s="143"/>
      <c r="C25" s="142">
        <f t="shared" ref="C25" si="23">D25</f>
        <v>0.35499999999999998</v>
      </c>
      <c r="D25" s="108">
        <f t="shared" si="2"/>
        <v>0.35499999999999998</v>
      </c>
      <c r="F25" s="115" t="s">
        <v>697</v>
      </c>
      <c r="G25" s="122">
        <v>1</v>
      </c>
      <c r="H25" s="122">
        <v>1.75</v>
      </c>
      <c r="I25" s="46">
        <f t="shared" si="4"/>
        <v>0.94699999999999995</v>
      </c>
      <c r="J25" s="46">
        <v>12</v>
      </c>
      <c r="K25" s="46">
        <f t="shared" si="5"/>
        <v>10.86334175</v>
      </c>
      <c r="L25" s="47">
        <f t="shared" si="6"/>
        <v>10.106</v>
      </c>
      <c r="S25" s="115">
        <v>12</v>
      </c>
      <c r="T25" s="122">
        <v>13</v>
      </c>
      <c r="U25" s="8">
        <v>13.5</v>
      </c>
      <c r="V25" s="122">
        <v>1.1000000000000001</v>
      </c>
      <c r="W25" s="116">
        <v>28</v>
      </c>
    </row>
    <row r="26" spans="1:45" x14ac:dyDescent="0.4">
      <c r="A26" s="141"/>
      <c r="B26" s="143"/>
      <c r="C26" s="143"/>
      <c r="D26" s="108">
        <f t="shared" si="2"/>
        <v>0.375</v>
      </c>
      <c r="F26" s="115" t="s">
        <v>723</v>
      </c>
      <c r="G26" s="122">
        <v>2</v>
      </c>
      <c r="H26" s="122">
        <v>2</v>
      </c>
      <c r="I26" s="46">
        <f t="shared" si="4"/>
        <v>1.0820000000000001</v>
      </c>
      <c r="J26" s="46">
        <v>14</v>
      </c>
      <c r="K26" s="46">
        <f t="shared" si="5"/>
        <v>12.700962000000001</v>
      </c>
      <c r="L26" s="47">
        <f t="shared" si="6"/>
        <v>11.835000000000001</v>
      </c>
      <c r="S26" s="115">
        <v>14</v>
      </c>
      <c r="T26" s="122">
        <v>15</v>
      </c>
      <c r="U26" s="8">
        <v>15.5</v>
      </c>
      <c r="V26" s="122">
        <f>V25</f>
        <v>1.1000000000000001</v>
      </c>
      <c r="W26" s="116">
        <v>32</v>
      </c>
    </row>
    <row r="27" spans="1:45" ht="19.5" thickBot="1" x14ac:dyDescent="0.45">
      <c r="A27" s="140">
        <f>B27</f>
        <v>0.4</v>
      </c>
      <c r="B27" s="142">
        <f t="shared" ref="B27" si="24">C27</f>
        <v>0.4</v>
      </c>
      <c r="C27" s="142">
        <f t="shared" ref="C27" si="25">D27</f>
        <v>0.4</v>
      </c>
      <c r="D27" s="108">
        <f t="shared" si="2"/>
        <v>0.4</v>
      </c>
      <c r="F27" s="115" t="s">
        <v>698</v>
      </c>
      <c r="G27" s="122">
        <v>1</v>
      </c>
      <c r="H27" s="122">
        <v>2</v>
      </c>
      <c r="I27" s="46">
        <f t="shared" si="4"/>
        <v>1.0820000000000001</v>
      </c>
      <c r="J27" s="46">
        <v>16</v>
      </c>
      <c r="K27" s="46">
        <f t="shared" si="5"/>
        <v>14.700962000000001</v>
      </c>
      <c r="L27" s="47">
        <f t="shared" si="6"/>
        <v>13.835000000000001</v>
      </c>
      <c r="S27" s="115">
        <v>16</v>
      </c>
      <c r="T27" s="122">
        <v>17</v>
      </c>
      <c r="U27" s="8">
        <v>17.5</v>
      </c>
      <c r="V27" s="122">
        <f>V26</f>
        <v>1.1000000000000001</v>
      </c>
      <c r="W27" s="116">
        <v>35</v>
      </c>
      <c r="AA27" t="s">
        <v>724</v>
      </c>
    </row>
    <row r="28" spans="1:45" x14ac:dyDescent="0.4">
      <c r="A28" s="141"/>
      <c r="B28" s="143"/>
      <c r="C28" s="143"/>
      <c r="D28" s="108">
        <f t="shared" si="2"/>
        <v>0.42499999999999999</v>
      </c>
      <c r="F28" s="115" t="s">
        <v>725</v>
      </c>
      <c r="G28" s="122">
        <v>2</v>
      </c>
      <c r="H28" s="122">
        <v>2.5</v>
      </c>
      <c r="I28" s="46">
        <f t="shared" si="4"/>
        <v>1.353</v>
      </c>
      <c r="J28" s="46">
        <v>18</v>
      </c>
      <c r="K28" s="46">
        <f t="shared" si="5"/>
        <v>16.376202500000002</v>
      </c>
      <c r="L28" s="47">
        <f t="shared" si="6"/>
        <v>15.294</v>
      </c>
      <c r="S28" s="115">
        <v>18</v>
      </c>
      <c r="T28" s="122">
        <v>19</v>
      </c>
      <c r="U28" s="8">
        <v>20</v>
      </c>
      <c r="V28" s="122">
        <f>V27</f>
        <v>1.1000000000000001</v>
      </c>
      <c r="W28" s="116">
        <v>39</v>
      </c>
      <c r="AA28" s="167" t="s">
        <v>662</v>
      </c>
      <c r="AB28" s="169"/>
      <c r="AC28" s="84" t="s">
        <v>683</v>
      </c>
      <c r="AD28" s="83" t="s">
        <v>686</v>
      </c>
    </row>
    <row r="29" spans="1:45" x14ac:dyDescent="0.4">
      <c r="A29" s="141"/>
      <c r="B29" s="143"/>
      <c r="C29" s="142">
        <f t="shared" ref="C29" si="26">D29</f>
        <v>0.45</v>
      </c>
      <c r="D29" s="108">
        <f t="shared" si="2"/>
        <v>0.45</v>
      </c>
      <c r="F29" s="115" t="s">
        <v>699</v>
      </c>
      <c r="G29" s="122">
        <v>1</v>
      </c>
      <c r="H29" s="122">
        <v>2.5</v>
      </c>
      <c r="I29" s="46">
        <f t="shared" si="4"/>
        <v>1.353</v>
      </c>
      <c r="J29" s="46">
        <v>20</v>
      </c>
      <c r="K29" s="46">
        <f t="shared" si="5"/>
        <v>18.376202500000002</v>
      </c>
      <c r="L29" s="47">
        <f t="shared" si="6"/>
        <v>17.294</v>
      </c>
      <c r="S29" s="115">
        <v>20</v>
      </c>
      <c r="T29" s="122">
        <v>21</v>
      </c>
      <c r="U29" s="8">
        <v>22</v>
      </c>
      <c r="V29" s="122">
        <v>1.2</v>
      </c>
      <c r="W29" s="116">
        <v>43</v>
      </c>
      <c r="AA29" s="172" t="s">
        <v>708</v>
      </c>
      <c r="AB29" s="171"/>
      <c r="AC29" s="95">
        <v>1</v>
      </c>
      <c r="AD29" s="94">
        <v>1.2</v>
      </c>
    </row>
    <row r="30" spans="1:45" x14ac:dyDescent="0.4">
      <c r="A30" s="141"/>
      <c r="B30" s="143"/>
      <c r="C30" s="143"/>
      <c r="D30" s="108">
        <f t="shared" si="2"/>
        <v>0.47499999999999998</v>
      </c>
      <c r="F30" s="115" t="s">
        <v>726</v>
      </c>
      <c r="G30" s="122">
        <v>2</v>
      </c>
      <c r="H30" s="122">
        <v>2.5</v>
      </c>
      <c r="I30" s="46">
        <f t="shared" si="4"/>
        <v>1.353</v>
      </c>
      <c r="J30" s="46">
        <v>22</v>
      </c>
      <c r="K30" s="46">
        <f t="shared" si="5"/>
        <v>20.376202500000002</v>
      </c>
      <c r="L30" s="47">
        <f t="shared" si="6"/>
        <v>19.294</v>
      </c>
      <c r="S30" s="115">
        <v>22</v>
      </c>
      <c r="T30" s="122">
        <v>23</v>
      </c>
      <c r="U30" s="8">
        <v>24</v>
      </c>
      <c r="V30" s="122">
        <f>V29</f>
        <v>1.2</v>
      </c>
      <c r="W30" s="116">
        <v>46</v>
      </c>
      <c r="AA30" s="172" t="s">
        <v>709</v>
      </c>
      <c r="AB30" s="171"/>
      <c r="AC30" s="85">
        <v>0.25</v>
      </c>
      <c r="AD30" s="50">
        <v>0.25</v>
      </c>
    </row>
    <row r="31" spans="1:45" x14ac:dyDescent="0.4">
      <c r="A31" s="141"/>
      <c r="B31" s="142">
        <f t="shared" ref="B31" si="27">C31</f>
        <v>0.5</v>
      </c>
      <c r="C31" s="142">
        <f t="shared" ref="C31" si="28">D31</f>
        <v>0.5</v>
      </c>
      <c r="D31" s="108">
        <f t="shared" si="2"/>
        <v>0.5</v>
      </c>
      <c r="F31" s="115" t="s">
        <v>700</v>
      </c>
      <c r="G31" s="122">
        <v>1</v>
      </c>
      <c r="H31" s="122">
        <v>3</v>
      </c>
      <c r="I31" s="46">
        <f t="shared" si="4"/>
        <v>1.6240000000000001</v>
      </c>
      <c r="J31" s="46">
        <v>24</v>
      </c>
      <c r="K31" s="46">
        <f t="shared" si="5"/>
        <v>22.051442999999999</v>
      </c>
      <c r="L31" s="47">
        <f t="shared" si="6"/>
        <v>20.751999999999999</v>
      </c>
      <c r="S31" s="115">
        <v>24</v>
      </c>
      <c r="T31" s="122">
        <v>25</v>
      </c>
      <c r="U31" s="8">
        <v>26</v>
      </c>
      <c r="V31" s="122">
        <f>V30</f>
        <v>1.2</v>
      </c>
      <c r="W31" s="116">
        <v>50</v>
      </c>
      <c r="AA31" s="172" t="s">
        <v>718</v>
      </c>
      <c r="AB31" s="171"/>
      <c r="AC31" s="95">
        <v>2.5</v>
      </c>
      <c r="AD31" s="94">
        <v>3</v>
      </c>
    </row>
    <row r="32" spans="1:45" x14ac:dyDescent="0.4">
      <c r="A32" s="141"/>
      <c r="B32" s="143"/>
      <c r="C32" s="143"/>
      <c r="D32" s="108">
        <f t="shared" si="2"/>
        <v>0.53</v>
      </c>
      <c r="F32" s="115" t="s">
        <v>727</v>
      </c>
      <c r="G32" s="122">
        <v>2</v>
      </c>
      <c r="H32" s="122">
        <v>3</v>
      </c>
      <c r="I32" s="46">
        <f t="shared" si="4"/>
        <v>1.6240000000000001</v>
      </c>
      <c r="J32" s="46">
        <v>27</v>
      </c>
      <c r="K32" s="46">
        <f t="shared" si="5"/>
        <v>25.051442999999999</v>
      </c>
      <c r="L32" s="47">
        <f t="shared" si="6"/>
        <v>23.751999999999999</v>
      </c>
      <c r="S32" s="115">
        <v>27</v>
      </c>
      <c r="T32" s="122">
        <v>28</v>
      </c>
      <c r="U32" s="8">
        <v>30</v>
      </c>
      <c r="V32" s="122">
        <v>1.7</v>
      </c>
      <c r="W32" s="116">
        <v>55</v>
      </c>
      <c r="AA32" s="172" t="s">
        <v>7</v>
      </c>
      <c r="AB32" s="171"/>
      <c r="AC32" s="85">
        <v>0.8</v>
      </c>
      <c r="AD32" s="50">
        <v>1</v>
      </c>
    </row>
    <row r="33" spans="1:30" ht="19.5" thickBot="1" x14ac:dyDescent="0.45">
      <c r="A33" s="141"/>
      <c r="B33" s="143"/>
      <c r="C33" s="142">
        <f t="shared" ref="C33" si="29">D33</f>
        <v>0.55999999999999994</v>
      </c>
      <c r="D33" s="108">
        <f t="shared" si="2"/>
        <v>0.55999999999999994</v>
      </c>
      <c r="F33" s="115" t="s">
        <v>701</v>
      </c>
      <c r="G33" s="122">
        <v>1</v>
      </c>
      <c r="H33" s="122">
        <v>3.5</v>
      </c>
      <c r="I33" s="46">
        <f t="shared" si="4"/>
        <v>1.8939999999999999</v>
      </c>
      <c r="J33" s="46">
        <v>30</v>
      </c>
      <c r="K33" s="46">
        <f t="shared" si="5"/>
        <v>27.7266835</v>
      </c>
      <c r="L33" s="47">
        <f t="shared" si="6"/>
        <v>26.210999999999999</v>
      </c>
      <c r="S33" s="115">
        <v>30</v>
      </c>
      <c r="T33" s="122">
        <v>31</v>
      </c>
      <c r="U33" s="8">
        <v>33</v>
      </c>
      <c r="V33" s="122">
        <f>V32</f>
        <v>1.7</v>
      </c>
      <c r="W33" s="116">
        <v>62</v>
      </c>
      <c r="AA33" s="184" t="s">
        <v>295</v>
      </c>
      <c r="AB33" s="185"/>
      <c r="AC33" s="86">
        <v>2.887</v>
      </c>
      <c r="AD33" s="54">
        <v>3.464</v>
      </c>
    </row>
    <row r="34" spans="1:30" x14ac:dyDescent="0.4">
      <c r="A34" s="141"/>
      <c r="B34" s="143"/>
      <c r="C34" s="143"/>
      <c r="D34" s="108">
        <f t="shared" si="2"/>
        <v>0.6</v>
      </c>
      <c r="F34" s="115" t="s">
        <v>728</v>
      </c>
      <c r="G34" s="122">
        <v>2</v>
      </c>
      <c r="H34" s="122">
        <v>3.5</v>
      </c>
      <c r="I34" s="46">
        <f t="shared" si="4"/>
        <v>1.8939999999999999</v>
      </c>
      <c r="J34" s="46">
        <v>33</v>
      </c>
      <c r="K34" s="46">
        <f t="shared" si="5"/>
        <v>30.7266835</v>
      </c>
      <c r="L34" s="47">
        <f t="shared" si="6"/>
        <v>29.210999999999999</v>
      </c>
      <c r="S34" s="115">
        <v>33</v>
      </c>
      <c r="T34" s="122">
        <v>34</v>
      </c>
      <c r="U34" s="8">
        <v>36</v>
      </c>
      <c r="V34" s="122">
        <f>V33</f>
        <v>1.7</v>
      </c>
      <c r="W34" s="116">
        <v>66</v>
      </c>
    </row>
    <row r="35" spans="1:30" x14ac:dyDescent="0.4">
      <c r="A35" s="140">
        <f>B35</f>
        <v>0.63</v>
      </c>
      <c r="B35" s="142">
        <f t="shared" ref="B35" si="30">C35</f>
        <v>0.63</v>
      </c>
      <c r="C35" s="142">
        <f t="shared" ref="C35" si="31">D35</f>
        <v>0.63</v>
      </c>
      <c r="D35" s="108">
        <f t="shared" si="2"/>
        <v>0.63</v>
      </c>
      <c r="F35" s="115" t="s">
        <v>702</v>
      </c>
      <c r="G35" s="122">
        <v>1</v>
      </c>
      <c r="H35" s="122">
        <v>4</v>
      </c>
      <c r="I35" s="46">
        <f t="shared" si="4"/>
        <v>2.165</v>
      </c>
      <c r="J35" s="46">
        <v>36</v>
      </c>
      <c r="K35" s="46">
        <f t="shared" si="5"/>
        <v>33.401924000000001</v>
      </c>
      <c r="L35" s="47">
        <f t="shared" si="6"/>
        <v>31.67</v>
      </c>
      <c r="S35" s="115">
        <v>36</v>
      </c>
      <c r="T35" s="122">
        <v>37</v>
      </c>
      <c r="U35" s="8">
        <v>39</v>
      </c>
      <c r="V35" s="122">
        <f>V34</f>
        <v>1.7</v>
      </c>
      <c r="W35" s="116">
        <v>72</v>
      </c>
    </row>
    <row r="36" spans="1:30" x14ac:dyDescent="0.4">
      <c r="A36" s="141"/>
      <c r="B36" s="143"/>
      <c r="C36" s="143"/>
      <c r="D36" s="108">
        <f t="shared" si="2"/>
        <v>0.67</v>
      </c>
      <c r="F36" s="115" t="s">
        <v>729</v>
      </c>
      <c r="G36" s="122">
        <v>2</v>
      </c>
      <c r="H36" s="122">
        <v>4</v>
      </c>
      <c r="I36" s="46">
        <f t="shared" si="4"/>
        <v>2.165</v>
      </c>
      <c r="J36" s="46">
        <v>39</v>
      </c>
      <c r="K36" s="46">
        <f t="shared" si="5"/>
        <v>36.401924000000001</v>
      </c>
      <c r="L36" s="47">
        <f t="shared" si="6"/>
        <v>34.67</v>
      </c>
      <c r="S36" s="115">
        <v>39</v>
      </c>
      <c r="T36" s="122">
        <v>40</v>
      </c>
      <c r="U36" s="8">
        <v>42</v>
      </c>
      <c r="V36" s="122">
        <f>V35</f>
        <v>1.7</v>
      </c>
      <c r="W36" s="116">
        <v>76</v>
      </c>
    </row>
    <row r="37" spans="1:30" x14ac:dyDescent="0.4">
      <c r="A37" s="141"/>
      <c r="B37" s="143"/>
      <c r="C37" s="142">
        <f t="shared" ref="C37" si="32">D37</f>
        <v>0.71</v>
      </c>
      <c r="D37" s="108">
        <f t="shared" si="2"/>
        <v>0.71</v>
      </c>
      <c r="F37" s="115" t="s">
        <v>703</v>
      </c>
      <c r="G37" s="122">
        <v>1</v>
      </c>
      <c r="H37" s="122">
        <v>4.5</v>
      </c>
      <c r="I37" s="46">
        <f t="shared" si="4"/>
        <v>2.4350000000000001</v>
      </c>
      <c r="J37" s="46">
        <v>42</v>
      </c>
      <c r="K37" s="46">
        <f t="shared" si="5"/>
        <v>39.077164500000002</v>
      </c>
      <c r="L37" s="47">
        <f t="shared" si="6"/>
        <v>37.128999999999998</v>
      </c>
      <c r="S37" s="115">
        <v>42</v>
      </c>
      <c r="T37" s="122">
        <v>43</v>
      </c>
      <c r="U37" s="8">
        <v>45</v>
      </c>
      <c r="V37" s="122">
        <v>1.8</v>
      </c>
      <c r="W37" s="116">
        <v>82</v>
      </c>
    </row>
    <row r="38" spans="1:30" x14ac:dyDescent="0.4">
      <c r="A38" s="141"/>
      <c r="B38" s="143"/>
      <c r="C38" s="143"/>
      <c r="D38" s="108">
        <f t="shared" si="2"/>
        <v>0.75</v>
      </c>
      <c r="F38" s="115" t="s">
        <v>730</v>
      </c>
      <c r="G38" s="122">
        <v>2</v>
      </c>
      <c r="H38" s="122">
        <v>4.5</v>
      </c>
      <c r="I38" s="46">
        <f t="shared" si="4"/>
        <v>2.4350000000000001</v>
      </c>
      <c r="J38" s="46">
        <v>45</v>
      </c>
      <c r="K38" s="46">
        <f t="shared" si="5"/>
        <v>42.077164500000002</v>
      </c>
      <c r="L38" s="47">
        <f t="shared" si="6"/>
        <v>40.128999999999998</v>
      </c>
      <c r="S38" s="115">
        <v>45</v>
      </c>
      <c r="T38" s="122">
        <v>46</v>
      </c>
      <c r="U38" s="8">
        <v>48</v>
      </c>
      <c r="V38" s="122">
        <f>V37</f>
        <v>1.8</v>
      </c>
      <c r="W38" s="116">
        <v>87</v>
      </c>
    </row>
    <row r="39" spans="1:30" x14ac:dyDescent="0.4">
      <c r="A39" s="141"/>
      <c r="B39" s="142">
        <f t="shared" ref="B39" si="33">C39</f>
        <v>0.8</v>
      </c>
      <c r="C39" s="142">
        <f t="shared" ref="C39" si="34">D39</f>
        <v>0.8</v>
      </c>
      <c r="D39" s="108">
        <f t="shared" si="2"/>
        <v>0.8</v>
      </c>
      <c r="F39" s="115" t="s">
        <v>704</v>
      </c>
      <c r="G39" s="122">
        <v>1</v>
      </c>
      <c r="H39" s="122">
        <v>5</v>
      </c>
      <c r="I39" s="46">
        <f t="shared" si="4"/>
        <v>2.706</v>
      </c>
      <c r="J39" s="46">
        <v>48</v>
      </c>
      <c r="K39" s="46">
        <f t="shared" si="5"/>
        <v>44.752405000000003</v>
      </c>
      <c r="L39" s="47">
        <f t="shared" si="6"/>
        <v>42.587000000000003</v>
      </c>
      <c r="S39" s="115">
        <v>48</v>
      </c>
      <c r="T39" s="122">
        <v>50</v>
      </c>
      <c r="U39" s="8">
        <v>52</v>
      </c>
      <c r="V39" s="122">
        <v>2.2999999999999998</v>
      </c>
      <c r="W39" s="116">
        <v>93</v>
      </c>
    </row>
    <row r="40" spans="1:30" x14ac:dyDescent="0.4">
      <c r="A40" s="141"/>
      <c r="B40" s="143"/>
      <c r="C40" s="143"/>
      <c r="D40" s="108">
        <f t="shared" si="2"/>
        <v>0.85</v>
      </c>
      <c r="F40" s="115" t="s">
        <v>731</v>
      </c>
      <c r="G40" s="122">
        <v>2</v>
      </c>
      <c r="H40" s="122">
        <v>5</v>
      </c>
      <c r="I40" s="46">
        <f t="shared" si="4"/>
        <v>2.706</v>
      </c>
      <c r="J40" s="46">
        <v>52</v>
      </c>
      <c r="K40" s="46">
        <f t="shared" si="5"/>
        <v>48.752405000000003</v>
      </c>
      <c r="L40" s="47">
        <f t="shared" si="6"/>
        <v>46.587000000000003</v>
      </c>
      <c r="S40" s="115">
        <v>52</v>
      </c>
      <c r="T40" s="122">
        <v>54</v>
      </c>
      <c r="U40" s="8">
        <v>56</v>
      </c>
      <c r="V40" s="122">
        <f>V39</f>
        <v>2.2999999999999998</v>
      </c>
      <c r="W40" s="116">
        <v>100</v>
      </c>
    </row>
    <row r="41" spans="1:30" x14ac:dyDescent="0.4">
      <c r="A41" s="141"/>
      <c r="B41" s="143"/>
      <c r="C41" s="142">
        <f t="shared" ref="C41" si="35">D41</f>
        <v>0.9</v>
      </c>
      <c r="D41" s="108">
        <f t="shared" si="2"/>
        <v>0.9</v>
      </c>
      <c r="F41" s="115" t="s">
        <v>705</v>
      </c>
      <c r="G41" s="122">
        <v>1</v>
      </c>
      <c r="H41" s="122">
        <v>5.5</v>
      </c>
      <c r="I41" s="46">
        <f t="shared" si="4"/>
        <v>2.9769999999999999</v>
      </c>
      <c r="J41" s="46">
        <v>56</v>
      </c>
      <c r="K41" s="46">
        <f t="shared" si="5"/>
        <v>52.427645499999997</v>
      </c>
      <c r="L41" s="47">
        <f t="shared" si="6"/>
        <v>50.045999999999999</v>
      </c>
      <c r="S41" s="115">
        <v>56</v>
      </c>
      <c r="T41" s="122">
        <v>58</v>
      </c>
      <c r="U41" s="8">
        <v>62</v>
      </c>
      <c r="V41" s="122">
        <v>3.5</v>
      </c>
      <c r="W41" s="116">
        <v>110</v>
      </c>
    </row>
    <row r="42" spans="1:30" x14ac:dyDescent="0.4">
      <c r="A42" s="141"/>
      <c r="B42" s="143"/>
      <c r="C42" s="143"/>
      <c r="D42" s="108">
        <f t="shared" si="2"/>
        <v>0.95</v>
      </c>
      <c r="F42" s="115" t="s">
        <v>732</v>
      </c>
      <c r="G42" s="122">
        <v>2</v>
      </c>
      <c r="H42" s="122">
        <v>5.5</v>
      </c>
      <c r="I42" s="46">
        <f t="shared" si="4"/>
        <v>2.9769999999999999</v>
      </c>
      <c r="J42" s="46">
        <v>60</v>
      </c>
      <c r="K42" s="46">
        <f t="shared" si="5"/>
        <v>56.427645499999997</v>
      </c>
      <c r="L42" s="47">
        <f t="shared" si="6"/>
        <v>54.045999999999999</v>
      </c>
      <c r="S42" s="115">
        <v>60</v>
      </c>
      <c r="T42" s="122">
        <v>62</v>
      </c>
      <c r="U42" s="8">
        <v>66</v>
      </c>
      <c r="V42" s="122">
        <f t="shared" ref="V42:V47" si="36">V41</f>
        <v>3.5</v>
      </c>
      <c r="W42" s="116">
        <v>115</v>
      </c>
    </row>
    <row r="43" spans="1:30" x14ac:dyDescent="0.4">
      <c r="A43" s="153">
        <f>B43</f>
        <v>1</v>
      </c>
      <c r="B43" s="155">
        <f>C43</f>
        <v>1</v>
      </c>
      <c r="C43" s="155">
        <f t="shared" ref="C43:C49" si="37">D43</f>
        <v>1</v>
      </c>
      <c r="D43" s="103">
        <v>1</v>
      </c>
      <c r="F43" s="115" t="s">
        <v>706</v>
      </c>
      <c r="G43" s="122">
        <v>1</v>
      </c>
      <c r="H43" s="122">
        <v>6</v>
      </c>
      <c r="I43" s="46">
        <f t="shared" si="4"/>
        <v>3.2469999999999999</v>
      </c>
      <c r="J43" s="46">
        <v>64</v>
      </c>
      <c r="K43" s="46">
        <f t="shared" si="5"/>
        <v>60.102885999999998</v>
      </c>
      <c r="L43" s="47">
        <f t="shared" si="6"/>
        <v>57.505000000000003</v>
      </c>
      <c r="S43" s="115">
        <v>64</v>
      </c>
      <c r="T43" s="122">
        <v>66</v>
      </c>
      <c r="U43" s="8">
        <v>70</v>
      </c>
      <c r="V43" s="122">
        <f t="shared" si="36"/>
        <v>3.5</v>
      </c>
      <c r="W43" s="116">
        <v>122</v>
      </c>
    </row>
    <row r="44" spans="1:30" ht="19.5" thickBot="1" x14ac:dyDescent="0.45">
      <c r="A44" s="154"/>
      <c r="B44" s="156"/>
      <c r="C44" s="157"/>
      <c r="D44" s="104">
        <v>1.06</v>
      </c>
      <c r="F44" s="120" t="s">
        <v>733</v>
      </c>
      <c r="G44" s="123">
        <v>2</v>
      </c>
      <c r="H44" s="123">
        <v>6</v>
      </c>
      <c r="I44" s="48">
        <f t="shared" si="4"/>
        <v>3.2469999999999999</v>
      </c>
      <c r="J44" s="48">
        <v>68</v>
      </c>
      <c r="K44" s="48">
        <f t="shared" si="5"/>
        <v>64.102885999999998</v>
      </c>
      <c r="L44" s="49">
        <f t="shared" si="6"/>
        <v>61.505000000000003</v>
      </c>
      <c r="S44" s="115">
        <v>68</v>
      </c>
      <c r="T44" s="122">
        <v>70</v>
      </c>
      <c r="U44" s="8">
        <v>74</v>
      </c>
      <c r="V44" s="122">
        <f t="shared" si="36"/>
        <v>3.5</v>
      </c>
      <c r="W44" s="116">
        <v>127</v>
      </c>
    </row>
    <row r="45" spans="1:30" x14ac:dyDescent="0.4">
      <c r="A45" s="154"/>
      <c r="B45" s="156"/>
      <c r="C45" s="156">
        <f t="shared" si="37"/>
        <v>1.1200000000000001</v>
      </c>
      <c r="D45" s="104">
        <v>1.1200000000000001</v>
      </c>
      <c r="S45" s="115">
        <v>72</v>
      </c>
      <c r="T45" s="122">
        <v>74</v>
      </c>
      <c r="U45" s="8">
        <v>78</v>
      </c>
      <c r="V45" s="122">
        <f t="shared" si="36"/>
        <v>3.5</v>
      </c>
      <c r="W45" s="116">
        <v>133</v>
      </c>
    </row>
    <row r="46" spans="1:30" x14ac:dyDescent="0.4">
      <c r="A46" s="154"/>
      <c r="B46" s="156"/>
      <c r="C46" s="157"/>
      <c r="D46" s="104">
        <v>1.18</v>
      </c>
      <c r="S46" s="115">
        <v>76</v>
      </c>
      <c r="T46" s="122">
        <v>78</v>
      </c>
      <c r="U46" s="8">
        <v>82</v>
      </c>
      <c r="V46" s="122">
        <f t="shared" si="36"/>
        <v>3.5</v>
      </c>
      <c r="W46" s="116">
        <v>143</v>
      </c>
    </row>
    <row r="47" spans="1:30" x14ac:dyDescent="0.4">
      <c r="A47" s="154"/>
      <c r="B47" s="156">
        <f t="shared" ref="B47" si="38">C47</f>
        <v>1.25</v>
      </c>
      <c r="C47" s="156">
        <f t="shared" si="37"/>
        <v>1.25</v>
      </c>
      <c r="D47" s="104">
        <v>1.25</v>
      </c>
      <c r="S47" s="115">
        <v>80</v>
      </c>
      <c r="T47" s="122">
        <v>82</v>
      </c>
      <c r="U47" s="8">
        <v>86</v>
      </c>
      <c r="V47" s="122">
        <f t="shared" si="36"/>
        <v>3.5</v>
      </c>
      <c r="W47" s="116">
        <v>148</v>
      </c>
    </row>
    <row r="48" spans="1:30" x14ac:dyDescent="0.4">
      <c r="A48" s="154"/>
      <c r="B48" s="156"/>
      <c r="C48" s="157"/>
      <c r="D48" s="104">
        <v>1.32</v>
      </c>
      <c r="S48" s="115">
        <v>85</v>
      </c>
      <c r="T48" s="122">
        <v>87</v>
      </c>
      <c r="U48" s="8">
        <v>91</v>
      </c>
      <c r="V48" s="122" t="s">
        <v>734</v>
      </c>
      <c r="W48" s="116" t="str">
        <f t="shared" ref="W48:W59" si="39">V48</f>
        <v>-</v>
      </c>
    </row>
    <row r="49" spans="1:23" x14ac:dyDescent="0.4">
      <c r="A49" s="154"/>
      <c r="B49" s="156"/>
      <c r="C49" s="156">
        <f t="shared" si="37"/>
        <v>1.4</v>
      </c>
      <c r="D49" s="104">
        <v>1.4</v>
      </c>
      <c r="S49" s="115">
        <v>90</v>
      </c>
      <c r="T49" s="122">
        <v>93</v>
      </c>
      <c r="U49" s="8">
        <v>96</v>
      </c>
      <c r="V49" s="122" t="str">
        <f t="shared" ref="V49:V59" si="40">V48</f>
        <v>-</v>
      </c>
      <c r="W49" s="116" t="str">
        <f t="shared" si="39"/>
        <v>-</v>
      </c>
    </row>
    <row r="50" spans="1:23" x14ac:dyDescent="0.4">
      <c r="A50" s="154"/>
      <c r="B50" s="156"/>
      <c r="C50" s="157"/>
      <c r="D50" s="104">
        <v>1.5</v>
      </c>
      <c r="S50" s="115">
        <v>95</v>
      </c>
      <c r="T50" s="122">
        <v>98</v>
      </c>
      <c r="U50" s="8">
        <v>101</v>
      </c>
      <c r="V50" s="122" t="str">
        <f t="shared" si="40"/>
        <v>-</v>
      </c>
      <c r="W50" s="116" t="str">
        <f t="shared" si="39"/>
        <v>-</v>
      </c>
    </row>
    <row r="51" spans="1:23" x14ac:dyDescent="0.4">
      <c r="A51" s="158">
        <f t="shared" ref="A51:C51" si="41">B51</f>
        <v>1.6</v>
      </c>
      <c r="B51" s="156">
        <f t="shared" si="41"/>
        <v>1.6</v>
      </c>
      <c r="C51" s="156">
        <f t="shared" si="41"/>
        <v>1.6</v>
      </c>
      <c r="D51" s="104">
        <v>1.6</v>
      </c>
      <c r="S51" s="115">
        <v>100</v>
      </c>
      <c r="T51" s="122">
        <v>104</v>
      </c>
      <c r="U51" s="8">
        <v>107</v>
      </c>
      <c r="V51" s="122" t="str">
        <f t="shared" si="40"/>
        <v>-</v>
      </c>
      <c r="W51" s="116" t="str">
        <f t="shared" si="39"/>
        <v>-</v>
      </c>
    </row>
    <row r="52" spans="1:23" x14ac:dyDescent="0.4">
      <c r="A52" s="154"/>
      <c r="B52" s="156"/>
      <c r="C52" s="157"/>
      <c r="D52" s="104">
        <v>1.7</v>
      </c>
      <c r="S52" s="115">
        <v>105</v>
      </c>
      <c r="T52" s="122">
        <v>109</v>
      </c>
      <c r="U52" s="8">
        <v>112</v>
      </c>
      <c r="V52" s="122" t="str">
        <f t="shared" si="40"/>
        <v>-</v>
      </c>
      <c r="W52" s="116" t="str">
        <f t="shared" si="39"/>
        <v>-</v>
      </c>
    </row>
    <row r="53" spans="1:23" x14ac:dyDescent="0.4">
      <c r="A53" s="154"/>
      <c r="B53" s="156"/>
      <c r="C53" s="156">
        <f t="shared" ref="C53" si="42">D53</f>
        <v>1.8</v>
      </c>
      <c r="D53" s="104">
        <v>1.8</v>
      </c>
      <c r="S53" s="115">
        <v>110</v>
      </c>
      <c r="T53" s="122">
        <v>114</v>
      </c>
      <c r="U53" s="8">
        <v>117</v>
      </c>
      <c r="V53" s="122" t="str">
        <f t="shared" si="40"/>
        <v>-</v>
      </c>
      <c r="W53" s="116" t="str">
        <f t="shared" si="39"/>
        <v>-</v>
      </c>
    </row>
    <row r="54" spans="1:23" x14ac:dyDescent="0.4">
      <c r="A54" s="154"/>
      <c r="B54" s="156"/>
      <c r="C54" s="157"/>
      <c r="D54" s="104">
        <v>1.9</v>
      </c>
      <c r="S54" s="115">
        <v>115</v>
      </c>
      <c r="T54" s="122">
        <v>119</v>
      </c>
      <c r="U54" s="8">
        <v>122</v>
      </c>
      <c r="V54" s="122" t="str">
        <f t="shared" si="40"/>
        <v>-</v>
      </c>
      <c r="W54" s="116" t="str">
        <f t="shared" si="39"/>
        <v>-</v>
      </c>
    </row>
    <row r="55" spans="1:23" x14ac:dyDescent="0.4">
      <c r="A55" s="154"/>
      <c r="B55" s="156">
        <f t="shared" ref="B55:C55" si="43">C55</f>
        <v>2</v>
      </c>
      <c r="C55" s="156">
        <f t="shared" si="43"/>
        <v>2</v>
      </c>
      <c r="D55" s="104">
        <v>2</v>
      </c>
      <c r="S55" s="115">
        <v>120</v>
      </c>
      <c r="T55" s="122">
        <v>124</v>
      </c>
      <c r="U55" s="8">
        <v>127</v>
      </c>
      <c r="V55" s="122" t="str">
        <f t="shared" si="40"/>
        <v>-</v>
      </c>
      <c r="W55" s="116" t="str">
        <f t="shared" si="39"/>
        <v>-</v>
      </c>
    </row>
    <row r="56" spans="1:23" x14ac:dyDescent="0.4">
      <c r="A56" s="154"/>
      <c r="B56" s="156"/>
      <c r="C56" s="157"/>
      <c r="D56" s="104">
        <v>2.12</v>
      </c>
      <c r="S56" s="115">
        <v>125</v>
      </c>
      <c r="T56" s="122">
        <v>129</v>
      </c>
      <c r="U56" s="8">
        <v>132</v>
      </c>
      <c r="V56" s="122" t="str">
        <f t="shared" si="40"/>
        <v>-</v>
      </c>
      <c r="W56" s="116" t="str">
        <f t="shared" si="39"/>
        <v>-</v>
      </c>
    </row>
    <row r="57" spans="1:23" x14ac:dyDescent="0.4">
      <c r="A57" s="154"/>
      <c r="B57" s="156"/>
      <c r="C57" s="156">
        <f t="shared" ref="C57" si="44">D57</f>
        <v>2.2400000000000002</v>
      </c>
      <c r="D57" s="104">
        <v>2.2400000000000002</v>
      </c>
      <c r="S57" s="115">
        <v>130</v>
      </c>
      <c r="T57" s="122">
        <v>134</v>
      </c>
      <c r="U57" s="8">
        <v>137</v>
      </c>
      <c r="V57" s="122" t="str">
        <f t="shared" si="40"/>
        <v>-</v>
      </c>
      <c r="W57" s="116" t="str">
        <f t="shared" si="39"/>
        <v>-</v>
      </c>
    </row>
    <row r="58" spans="1:23" x14ac:dyDescent="0.4">
      <c r="A58" s="154"/>
      <c r="B58" s="156"/>
      <c r="C58" s="157"/>
      <c r="D58" s="104">
        <v>2.36</v>
      </c>
      <c r="S58" s="115">
        <v>140</v>
      </c>
      <c r="T58" s="122">
        <v>144</v>
      </c>
      <c r="U58" s="8">
        <v>147</v>
      </c>
      <c r="V58" s="122" t="str">
        <f t="shared" si="40"/>
        <v>-</v>
      </c>
      <c r="W58" s="116" t="str">
        <f t="shared" si="39"/>
        <v>-</v>
      </c>
    </row>
    <row r="59" spans="1:23" ht="19.5" thickBot="1" x14ac:dyDescent="0.45">
      <c r="A59" s="158">
        <f t="shared" ref="A59:C59" si="45">B59</f>
        <v>2.5</v>
      </c>
      <c r="B59" s="156">
        <f t="shared" si="45"/>
        <v>2.5</v>
      </c>
      <c r="C59" s="156">
        <f t="shared" si="45"/>
        <v>2.5</v>
      </c>
      <c r="D59" s="104">
        <v>2.5</v>
      </c>
      <c r="S59" s="120">
        <v>150</v>
      </c>
      <c r="T59" s="123">
        <v>155</v>
      </c>
      <c r="U59" s="53">
        <v>158</v>
      </c>
      <c r="V59" s="123" t="str">
        <f t="shared" si="40"/>
        <v>-</v>
      </c>
      <c r="W59" s="128" t="str">
        <f t="shared" si="39"/>
        <v>-</v>
      </c>
    </row>
    <row r="60" spans="1:23" x14ac:dyDescent="0.4">
      <c r="A60" s="154"/>
      <c r="B60" s="156"/>
      <c r="C60" s="157"/>
      <c r="D60" s="104">
        <v>2.65</v>
      </c>
    </row>
    <row r="61" spans="1:23" x14ac:dyDescent="0.4">
      <c r="A61" s="154"/>
      <c r="B61" s="156"/>
      <c r="C61" s="156">
        <f t="shared" ref="C61" si="46">D61</f>
        <v>2.8</v>
      </c>
      <c r="D61" s="104">
        <v>2.8</v>
      </c>
    </row>
    <row r="62" spans="1:23" x14ac:dyDescent="0.4">
      <c r="A62" s="154"/>
      <c r="B62" s="156"/>
      <c r="C62" s="157"/>
      <c r="D62" s="104">
        <v>3</v>
      </c>
    </row>
    <row r="63" spans="1:23" x14ac:dyDescent="0.4">
      <c r="A63" s="154"/>
      <c r="B63" s="156">
        <f t="shared" ref="B63:C63" si="47">C63</f>
        <v>3.15</v>
      </c>
      <c r="C63" s="156">
        <f t="shared" si="47"/>
        <v>3.15</v>
      </c>
      <c r="D63" s="104">
        <v>3.15</v>
      </c>
    </row>
    <row r="64" spans="1:23" x14ac:dyDescent="0.4">
      <c r="A64" s="154"/>
      <c r="B64" s="156"/>
      <c r="C64" s="157"/>
      <c r="D64" s="104">
        <v>3.35</v>
      </c>
    </row>
    <row r="65" spans="1:4" x14ac:dyDescent="0.4">
      <c r="A65" s="154"/>
      <c r="B65" s="156"/>
      <c r="C65" s="156">
        <f t="shared" ref="C65" si="48">D65</f>
        <v>3.55</v>
      </c>
      <c r="D65" s="104">
        <v>3.55</v>
      </c>
    </row>
    <row r="66" spans="1:4" x14ac:dyDescent="0.4">
      <c r="A66" s="154"/>
      <c r="B66" s="156"/>
      <c r="C66" s="157"/>
      <c r="D66" s="104">
        <v>3.75</v>
      </c>
    </row>
    <row r="67" spans="1:4" x14ac:dyDescent="0.4">
      <c r="A67" s="158">
        <f t="shared" ref="A67:C67" si="49">B67</f>
        <v>4</v>
      </c>
      <c r="B67" s="156">
        <f t="shared" si="49"/>
        <v>4</v>
      </c>
      <c r="C67" s="156">
        <f t="shared" si="49"/>
        <v>4</v>
      </c>
      <c r="D67" s="104">
        <v>4</v>
      </c>
    </row>
    <row r="68" spans="1:4" x14ac:dyDescent="0.4">
      <c r="A68" s="154"/>
      <c r="B68" s="156"/>
      <c r="C68" s="157"/>
      <c r="D68" s="104">
        <v>4.25</v>
      </c>
    </row>
    <row r="69" spans="1:4" x14ac:dyDescent="0.4">
      <c r="A69" s="154"/>
      <c r="B69" s="156"/>
      <c r="C69" s="156">
        <f t="shared" ref="C69" si="50">D69</f>
        <v>4.5</v>
      </c>
      <c r="D69" s="104">
        <v>4.5</v>
      </c>
    </row>
    <row r="70" spans="1:4" x14ac:dyDescent="0.4">
      <c r="A70" s="154"/>
      <c r="B70" s="156"/>
      <c r="C70" s="157"/>
      <c r="D70" s="104">
        <v>4.75</v>
      </c>
    </row>
    <row r="71" spans="1:4" x14ac:dyDescent="0.4">
      <c r="A71" s="154"/>
      <c r="B71" s="156">
        <f t="shared" ref="B71:C71" si="51">C71</f>
        <v>5</v>
      </c>
      <c r="C71" s="156">
        <f t="shared" si="51"/>
        <v>5</v>
      </c>
      <c r="D71" s="104">
        <v>5</v>
      </c>
    </row>
    <row r="72" spans="1:4" x14ac:dyDescent="0.4">
      <c r="A72" s="154"/>
      <c r="B72" s="156"/>
      <c r="C72" s="157"/>
      <c r="D72" s="104">
        <v>5.3</v>
      </c>
    </row>
    <row r="73" spans="1:4" x14ac:dyDescent="0.4">
      <c r="A73" s="154"/>
      <c r="B73" s="156"/>
      <c r="C73" s="156">
        <f t="shared" ref="C73" si="52">D73</f>
        <v>5.6</v>
      </c>
      <c r="D73" s="104">
        <v>5.6</v>
      </c>
    </row>
    <row r="74" spans="1:4" x14ac:dyDescent="0.4">
      <c r="A74" s="154"/>
      <c r="B74" s="156"/>
      <c r="C74" s="157"/>
      <c r="D74" s="104">
        <v>6</v>
      </c>
    </row>
    <row r="75" spans="1:4" x14ac:dyDescent="0.4">
      <c r="A75" s="158">
        <f t="shared" ref="A75:C75" si="53">B75</f>
        <v>6.3</v>
      </c>
      <c r="B75" s="156">
        <f t="shared" si="53"/>
        <v>6.3</v>
      </c>
      <c r="C75" s="156">
        <f t="shared" si="53"/>
        <v>6.3</v>
      </c>
      <c r="D75" s="104">
        <v>6.3</v>
      </c>
    </row>
    <row r="76" spans="1:4" x14ac:dyDescent="0.4">
      <c r="A76" s="154"/>
      <c r="B76" s="156"/>
      <c r="C76" s="157"/>
      <c r="D76" s="104">
        <v>6.7</v>
      </c>
    </row>
    <row r="77" spans="1:4" x14ac:dyDescent="0.4">
      <c r="A77" s="154"/>
      <c r="B77" s="156"/>
      <c r="C77" s="156">
        <f t="shared" ref="C77" si="54">D77</f>
        <v>7.1</v>
      </c>
      <c r="D77" s="104">
        <v>7.1</v>
      </c>
    </row>
    <row r="78" spans="1:4" x14ac:dyDescent="0.4">
      <c r="A78" s="154"/>
      <c r="B78" s="156"/>
      <c r="C78" s="157"/>
      <c r="D78" s="104">
        <v>7.5</v>
      </c>
    </row>
    <row r="79" spans="1:4" x14ac:dyDescent="0.4">
      <c r="A79" s="154"/>
      <c r="B79" s="156">
        <f t="shared" ref="B79:C79" si="55">C79</f>
        <v>8</v>
      </c>
      <c r="C79" s="156">
        <f t="shared" si="55"/>
        <v>8</v>
      </c>
      <c r="D79" s="104">
        <v>8</v>
      </c>
    </row>
    <row r="80" spans="1:4" x14ac:dyDescent="0.4">
      <c r="A80" s="154"/>
      <c r="B80" s="156"/>
      <c r="C80" s="157"/>
      <c r="D80" s="104">
        <v>8.5</v>
      </c>
    </row>
    <row r="81" spans="1:4" x14ac:dyDescent="0.4">
      <c r="A81" s="154"/>
      <c r="B81" s="156"/>
      <c r="C81" s="156">
        <f t="shared" ref="C81:C143" si="56">D81</f>
        <v>9</v>
      </c>
      <c r="D81" s="104">
        <v>9</v>
      </c>
    </row>
    <row r="82" spans="1:4" x14ac:dyDescent="0.4">
      <c r="A82" s="154"/>
      <c r="B82" s="156"/>
      <c r="C82" s="157"/>
      <c r="D82" s="104">
        <v>9.5</v>
      </c>
    </row>
    <row r="83" spans="1:4" x14ac:dyDescent="0.4">
      <c r="A83" s="140">
        <f t="shared" ref="A83:B83" si="57">B83</f>
        <v>10</v>
      </c>
      <c r="B83" s="164">
        <f t="shared" si="57"/>
        <v>10</v>
      </c>
      <c r="C83" s="142">
        <f t="shared" si="56"/>
        <v>10</v>
      </c>
      <c r="D83" s="105">
        <f>D43*10</f>
        <v>10</v>
      </c>
    </row>
    <row r="84" spans="1:4" x14ac:dyDescent="0.4">
      <c r="A84" s="163"/>
      <c r="B84" s="164"/>
      <c r="C84" s="165"/>
      <c r="D84" s="106">
        <f t="shared" ref="D84:D147" si="58">D44*10</f>
        <v>10.600000000000001</v>
      </c>
    </row>
    <row r="85" spans="1:4" x14ac:dyDescent="0.4">
      <c r="A85" s="163"/>
      <c r="B85" s="164"/>
      <c r="C85" s="142">
        <f t="shared" si="56"/>
        <v>11.200000000000001</v>
      </c>
      <c r="D85" s="106">
        <f t="shared" si="58"/>
        <v>11.200000000000001</v>
      </c>
    </row>
    <row r="86" spans="1:4" x14ac:dyDescent="0.4">
      <c r="A86" s="163"/>
      <c r="B86" s="164"/>
      <c r="C86" s="165"/>
      <c r="D86" s="106">
        <f t="shared" si="58"/>
        <v>11.799999999999999</v>
      </c>
    </row>
    <row r="87" spans="1:4" x14ac:dyDescent="0.4">
      <c r="A87" s="163"/>
      <c r="B87" s="164">
        <f t="shared" ref="B87" si="59">C87</f>
        <v>12.5</v>
      </c>
      <c r="C87" s="142">
        <f t="shared" si="56"/>
        <v>12.5</v>
      </c>
      <c r="D87" s="106">
        <f t="shared" si="58"/>
        <v>12.5</v>
      </c>
    </row>
    <row r="88" spans="1:4" x14ac:dyDescent="0.4">
      <c r="A88" s="163"/>
      <c r="B88" s="164"/>
      <c r="C88" s="165"/>
      <c r="D88" s="106">
        <f t="shared" si="58"/>
        <v>13.200000000000001</v>
      </c>
    </row>
    <row r="89" spans="1:4" x14ac:dyDescent="0.4">
      <c r="A89" s="163"/>
      <c r="B89" s="164"/>
      <c r="C89" s="142">
        <f t="shared" si="56"/>
        <v>14</v>
      </c>
      <c r="D89" s="105">
        <f t="shared" si="58"/>
        <v>14</v>
      </c>
    </row>
    <row r="90" spans="1:4" x14ac:dyDescent="0.4">
      <c r="A90" s="163"/>
      <c r="B90" s="164"/>
      <c r="C90" s="165"/>
      <c r="D90" s="105">
        <f t="shared" si="58"/>
        <v>15</v>
      </c>
    </row>
    <row r="91" spans="1:4" x14ac:dyDescent="0.4">
      <c r="A91" s="140">
        <f t="shared" ref="A91" si="60">B91</f>
        <v>16</v>
      </c>
      <c r="B91" s="164">
        <f t="shared" ref="B91" si="61">C91</f>
        <v>16</v>
      </c>
      <c r="C91" s="142">
        <f t="shared" si="56"/>
        <v>16</v>
      </c>
      <c r="D91" s="105">
        <f t="shared" si="58"/>
        <v>16</v>
      </c>
    </row>
    <row r="92" spans="1:4" x14ac:dyDescent="0.4">
      <c r="A92" s="163"/>
      <c r="B92" s="164"/>
      <c r="C92" s="165"/>
      <c r="D92" s="105">
        <f t="shared" si="58"/>
        <v>17</v>
      </c>
    </row>
    <row r="93" spans="1:4" x14ac:dyDescent="0.4">
      <c r="A93" s="163"/>
      <c r="B93" s="164"/>
      <c r="C93" s="142">
        <f t="shared" si="56"/>
        <v>18</v>
      </c>
      <c r="D93" s="105">
        <f t="shared" si="58"/>
        <v>18</v>
      </c>
    </row>
    <row r="94" spans="1:4" x14ac:dyDescent="0.4">
      <c r="A94" s="163"/>
      <c r="B94" s="164"/>
      <c r="C94" s="165"/>
      <c r="D94" s="105">
        <f t="shared" si="58"/>
        <v>19</v>
      </c>
    </row>
    <row r="95" spans="1:4" x14ac:dyDescent="0.4">
      <c r="A95" s="163"/>
      <c r="B95" s="164">
        <f t="shared" ref="B95" si="62">C95</f>
        <v>20</v>
      </c>
      <c r="C95" s="142">
        <f t="shared" si="56"/>
        <v>20</v>
      </c>
      <c r="D95" s="105">
        <f t="shared" si="58"/>
        <v>20</v>
      </c>
    </row>
    <row r="96" spans="1:4" x14ac:dyDescent="0.4">
      <c r="A96" s="163"/>
      <c r="B96" s="164"/>
      <c r="C96" s="165"/>
      <c r="D96" s="106">
        <f t="shared" si="58"/>
        <v>21.200000000000003</v>
      </c>
    </row>
    <row r="97" spans="1:4" x14ac:dyDescent="0.4">
      <c r="A97" s="163"/>
      <c r="B97" s="164"/>
      <c r="C97" s="142">
        <f t="shared" si="56"/>
        <v>22.400000000000002</v>
      </c>
      <c r="D97" s="106">
        <f t="shared" si="58"/>
        <v>22.400000000000002</v>
      </c>
    </row>
    <row r="98" spans="1:4" x14ac:dyDescent="0.4">
      <c r="A98" s="163"/>
      <c r="B98" s="164"/>
      <c r="C98" s="165"/>
      <c r="D98" s="106">
        <f t="shared" si="58"/>
        <v>23.599999999999998</v>
      </c>
    </row>
    <row r="99" spans="1:4" x14ac:dyDescent="0.4">
      <c r="A99" s="140">
        <f t="shared" ref="A99:A155" si="63">B99</f>
        <v>25</v>
      </c>
      <c r="B99" s="164">
        <f t="shared" ref="B99" si="64">C99</f>
        <v>25</v>
      </c>
      <c r="C99" s="142">
        <f t="shared" si="56"/>
        <v>25</v>
      </c>
      <c r="D99" s="105">
        <f t="shared" si="58"/>
        <v>25</v>
      </c>
    </row>
    <row r="100" spans="1:4" x14ac:dyDescent="0.4">
      <c r="A100" s="163"/>
      <c r="B100" s="164"/>
      <c r="C100" s="165"/>
      <c r="D100" s="106">
        <f t="shared" si="58"/>
        <v>26.5</v>
      </c>
    </row>
    <row r="101" spans="1:4" x14ac:dyDescent="0.4">
      <c r="A101" s="163"/>
      <c r="B101" s="164"/>
      <c r="C101" s="142">
        <f t="shared" si="56"/>
        <v>28</v>
      </c>
      <c r="D101" s="105">
        <f t="shared" si="58"/>
        <v>28</v>
      </c>
    </row>
    <row r="102" spans="1:4" x14ac:dyDescent="0.4">
      <c r="A102" s="163"/>
      <c r="B102" s="164"/>
      <c r="C102" s="165"/>
      <c r="D102" s="105">
        <f t="shared" si="58"/>
        <v>30</v>
      </c>
    </row>
    <row r="103" spans="1:4" x14ac:dyDescent="0.4">
      <c r="A103" s="163"/>
      <c r="B103" s="164">
        <f t="shared" ref="B103" si="65">C103</f>
        <v>31.5</v>
      </c>
      <c r="C103" s="142">
        <f t="shared" si="56"/>
        <v>31.5</v>
      </c>
      <c r="D103" s="106">
        <f t="shared" si="58"/>
        <v>31.5</v>
      </c>
    </row>
    <row r="104" spans="1:4" x14ac:dyDescent="0.4">
      <c r="A104" s="163"/>
      <c r="B104" s="164"/>
      <c r="C104" s="165"/>
      <c r="D104" s="106">
        <f t="shared" si="58"/>
        <v>33.5</v>
      </c>
    </row>
    <row r="105" spans="1:4" x14ac:dyDescent="0.4">
      <c r="A105" s="163"/>
      <c r="B105" s="164"/>
      <c r="C105" s="142">
        <f t="shared" si="56"/>
        <v>35.5</v>
      </c>
      <c r="D105" s="106">
        <f t="shared" si="58"/>
        <v>35.5</v>
      </c>
    </row>
    <row r="106" spans="1:4" x14ac:dyDescent="0.4">
      <c r="A106" s="163"/>
      <c r="B106" s="164"/>
      <c r="C106" s="165"/>
      <c r="D106" s="106">
        <f t="shared" si="58"/>
        <v>37.5</v>
      </c>
    </row>
    <row r="107" spans="1:4" x14ac:dyDescent="0.4">
      <c r="A107" s="140">
        <f t="shared" si="63"/>
        <v>40</v>
      </c>
      <c r="B107" s="164">
        <f t="shared" ref="B107" si="66">C107</f>
        <v>40</v>
      </c>
      <c r="C107" s="142">
        <f t="shared" si="56"/>
        <v>40</v>
      </c>
      <c r="D107" s="105">
        <f t="shared" si="58"/>
        <v>40</v>
      </c>
    </row>
    <row r="108" spans="1:4" x14ac:dyDescent="0.4">
      <c r="A108" s="163"/>
      <c r="B108" s="164"/>
      <c r="C108" s="165"/>
      <c r="D108" s="106">
        <f t="shared" si="58"/>
        <v>42.5</v>
      </c>
    </row>
    <row r="109" spans="1:4" x14ac:dyDescent="0.4">
      <c r="A109" s="163"/>
      <c r="B109" s="164"/>
      <c r="C109" s="142">
        <f t="shared" si="56"/>
        <v>45</v>
      </c>
      <c r="D109" s="105">
        <f t="shared" si="58"/>
        <v>45</v>
      </c>
    </row>
    <row r="110" spans="1:4" x14ac:dyDescent="0.4">
      <c r="A110" s="163"/>
      <c r="B110" s="164"/>
      <c r="C110" s="165"/>
      <c r="D110" s="106">
        <f t="shared" si="58"/>
        <v>47.5</v>
      </c>
    </row>
    <row r="111" spans="1:4" x14ac:dyDescent="0.4">
      <c r="A111" s="163"/>
      <c r="B111" s="164">
        <f t="shared" ref="B111" si="67">C111</f>
        <v>50</v>
      </c>
      <c r="C111" s="142">
        <f t="shared" si="56"/>
        <v>50</v>
      </c>
      <c r="D111" s="105">
        <f t="shared" si="58"/>
        <v>50</v>
      </c>
    </row>
    <row r="112" spans="1:4" x14ac:dyDescent="0.4">
      <c r="A112" s="163"/>
      <c r="B112" s="164"/>
      <c r="C112" s="165"/>
      <c r="D112" s="105">
        <f t="shared" si="58"/>
        <v>53</v>
      </c>
    </row>
    <row r="113" spans="1:4" x14ac:dyDescent="0.4">
      <c r="A113" s="163"/>
      <c r="B113" s="164"/>
      <c r="C113" s="142">
        <f t="shared" si="56"/>
        <v>56</v>
      </c>
      <c r="D113" s="105">
        <f t="shared" si="58"/>
        <v>56</v>
      </c>
    </row>
    <row r="114" spans="1:4" x14ac:dyDescent="0.4">
      <c r="A114" s="163"/>
      <c r="B114" s="164"/>
      <c r="C114" s="165"/>
      <c r="D114" s="105">
        <f t="shared" si="58"/>
        <v>60</v>
      </c>
    </row>
    <row r="115" spans="1:4" x14ac:dyDescent="0.4">
      <c r="A115" s="140">
        <f t="shared" si="63"/>
        <v>63</v>
      </c>
      <c r="B115" s="164">
        <f t="shared" ref="B115" si="68">C115</f>
        <v>63</v>
      </c>
      <c r="C115" s="142">
        <f t="shared" si="56"/>
        <v>63</v>
      </c>
      <c r="D115" s="105">
        <f t="shared" si="58"/>
        <v>63</v>
      </c>
    </row>
    <row r="116" spans="1:4" x14ac:dyDescent="0.4">
      <c r="A116" s="163"/>
      <c r="B116" s="164"/>
      <c r="C116" s="165"/>
      <c r="D116" s="105">
        <f t="shared" si="58"/>
        <v>67</v>
      </c>
    </row>
    <row r="117" spans="1:4" x14ac:dyDescent="0.4">
      <c r="A117" s="163"/>
      <c r="B117" s="164"/>
      <c r="C117" s="142">
        <f t="shared" si="56"/>
        <v>71</v>
      </c>
      <c r="D117" s="105">
        <f t="shared" si="58"/>
        <v>71</v>
      </c>
    </row>
    <row r="118" spans="1:4" x14ac:dyDescent="0.4">
      <c r="A118" s="163"/>
      <c r="B118" s="164"/>
      <c r="C118" s="165"/>
      <c r="D118" s="105">
        <f t="shared" si="58"/>
        <v>75</v>
      </c>
    </row>
    <row r="119" spans="1:4" x14ac:dyDescent="0.4">
      <c r="A119" s="163"/>
      <c r="B119" s="164">
        <f t="shared" ref="B119" si="69">C119</f>
        <v>80</v>
      </c>
      <c r="C119" s="142">
        <f t="shared" si="56"/>
        <v>80</v>
      </c>
      <c r="D119" s="105">
        <f t="shared" si="58"/>
        <v>80</v>
      </c>
    </row>
    <row r="120" spans="1:4" x14ac:dyDescent="0.4">
      <c r="A120" s="163"/>
      <c r="B120" s="164"/>
      <c r="C120" s="165"/>
      <c r="D120" s="105">
        <f t="shared" si="58"/>
        <v>85</v>
      </c>
    </row>
    <row r="121" spans="1:4" x14ac:dyDescent="0.4">
      <c r="A121" s="163"/>
      <c r="B121" s="164"/>
      <c r="C121" s="142">
        <f t="shared" si="56"/>
        <v>90</v>
      </c>
      <c r="D121" s="105">
        <f t="shared" si="58"/>
        <v>90</v>
      </c>
    </row>
    <row r="122" spans="1:4" x14ac:dyDescent="0.4">
      <c r="A122" s="163"/>
      <c r="B122" s="164"/>
      <c r="C122" s="165"/>
      <c r="D122" s="105">
        <f t="shared" si="58"/>
        <v>95</v>
      </c>
    </row>
    <row r="123" spans="1:4" x14ac:dyDescent="0.4">
      <c r="A123" s="140">
        <f t="shared" si="63"/>
        <v>100</v>
      </c>
      <c r="B123" s="147">
        <f t="shared" ref="B123" si="70">C123</f>
        <v>100</v>
      </c>
      <c r="C123" s="142">
        <f t="shared" si="56"/>
        <v>100</v>
      </c>
      <c r="D123" s="106">
        <f t="shared" si="58"/>
        <v>100</v>
      </c>
    </row>
    <row r="124" spans="1:4" x14ac:dyDescent="0.4">
      <c r="A124" s="145"/>
      <c r="B124" s="147"/>
      <c r="C124" s="166"/>
      <c r="D124" s="106">
        <f t="shared" si="58"/>
        <v>106.00000000000001</v>
      </c>
    </row>
    <row r="125" spans="1:4" x14ac:dyDescent="0.4">
      <c r="A125" s="145"/>
      <c r="B125" s="147"/>
      <c r="C125" s="142">
        <f t="shared" si="56"/>
        <v>112.00000000000001</v>
      </c>
      <c r="D125" s="106">
        <f t="shared" si="58"/>
        <v>112.00000000000001</v>
      </c>
    </row>
    <row r="126" spans="1:4" x14ac:dyDescent="0.4">
      <c r="A126" s="145"/>
      <c r="B126" s="147"/>
      <c r="C126" s="166"/>
      <c r="D126" s="106">
        <f t="shared" si="58"/>
        <v>117.99999999999999</v>
      </c>
    </row>
    <row r="127" spans="1:4" x14ac:dyDescent="0.4">
      <c r="A127" s="145"/>
      <c r="B127" s="147">
        <f t="shared" ref="B127" si="71">C127</f>
        <v>125</v>
      </c>
      <c r="C127" s="142">
        <f t="shared" si="56"/>
        <v>125</v>
      </c>
      <c r="D127" s="106">
        <f t="shared" si="58"/>
        <v>125</v>
      </c>
    </row>
    <row r="128" spans="1:4" x14ac:dyDescent="0.4">
      <c r="A128" s="145"/>
      <c r="B128" s="147"/>
      <c r="C128" s="166"/>
      <c r="D128" s="106">
        <f t="shared" si="58"/>
        <v>132</v>
      </c>
    </row>
    <row r="129" spans="1:4" x14ac:dyDescent="0.4">
      <c r="A129" s="145"/>
      <c r="B129" s="147"/>
      <c r="C129" s="142">
        <f t="shared" si="56"/>
        <v>140</v>
      </c>
      <c r="D129" s="106">
        <f t="shared" si="58"/>
        <v>140</v>
      </c>
    </row>
    <row r="130" spans="1:4" x14ac:dyDescent="0.4">
      <c r="A130" s="145"/>
      <c r="B130" s="147"/>
      <c r="C130" s="166"/>
      <c r="D130" s="106">
        <f t="shared" si="58"/>
        <v>150</v>
      </c>
    </row>
    <row r="131" spans="1:4" x14ac:dyDescent="0.4">
      <c r="A131" s="140">
        <f t="shared" si="63"/>
        <v>160</v>
      </c>
      <c r="B131" s="147">
        <f t="shared" ref="B131" si="72">C131</f>
        <v>160</v>
      </c>
      <c r="C131" s="142">
        <f t="shared" si="56"/>
        <v>160</v>
      </c>
      <c r="D131" s="106">
        <f t="shared" si="58"/>
        <v>160</v>
      </c>
    </row>
    <row r="132" spans="1:4" x14ac:dyDescent="0.4">
      <c r="A132" s="145"/>
      <c r="B132" s="147"/>
      <c r="C132" s="166"/>
      <c r="D132" s="106">
        <f t="shared" si="58"/>
        <v>170</v>
      </c>
    </row>
    <row r="133" spans="1:4" x14ac:dyDescent="0.4">
      <c r="A133" s="145"/>
      <c r="B133" s="147"/>
      <c r="C133" s="142">
        <f t="shared" si="56"/>
        <v>180</v>
      </c>
      <c r="D133" s="106">
        <f t="shared" si="58"/>
        <v>180</v>
      </c>
    </row>
    <row r="134" spans="1:4" x14ac:dyDescent="0.4">
      <c r="A134" s="145"/>
      <c r="B134" s="147"/>
      <c r="C134" s="166"/>
      <c r="D134" s="106">
        <f t="shared" si="58"/>
        <v>190</v>
      </c>
    </row>
    <row r="135" spans="1:4" x14ac:dyDescent="0.4">
      <c r="A135" s="145"/>
      <c r="B135" s="147">
        <f t="shared" ref="B135" si="73">C135</f>
        <v>200</v>
      </c>
      <c r="C135" s="142">
        <f t="shared" si="56"/>
        <v>200</v>
      </c>
      <c r="D135" s="106">
        <f t="shared" si="58"/>
        <v>200</v>
      </c>
    </row>
    <row r="136" spans="1:4" x14ac:dyDescent="0.4">
      <c r="A136" s="145"/>
      <c r="B136" s="147"/>
      <c r="C136" s="166"/>
      <c r="D136" s="106">
        <f t="shared" si="58"/>
        <v>212.00000000000003</v>
      </c>
    </row>
    <row r="137" spans="1:4" x14ac:dyDescent="0.4">
      <c r="A137" s="145"/>
      <c r="B137" s="147"/>
      <c r="C137" s="142">
        <f t="shared" si="56"/>
        <v>224.00000000000003</v>
      </c>
      <c r="D137" s="106">
        <f t="shared" si="58"/>
        <v>224.00000000000003</v>
      </c>
    </row>
    <row r="138" spans="1:4" x14ac:dyDescent="0.4">
      <c r="A138" s="145"/>
      <c r="B138" s="147"/>
      <c r="C138" s="166"/>
      <c r="D138" s="106">
        <f t="shared" si="58"/>
        <v>235.99999999999997</v>
      </c>
    </row>
    <row r="139" spans="1:4" x14ac:dyDescent="0.4">
      <c r="A139" s="140">
        <f t="shared" si="63"/>
        <v>250</v>
      </c>
      <c r="B139" s="147">
        <f t="shared" ref="B139" si="74">C139</f>
        <v>250</v>
      </c>
      <c r="C139" s="142">
        <f t="shared" si="56"/>
        <v>250</v>
      </c>
      <c r="D139" s="106">
        <f t="shared" si="58"/>
        <v>250</v>
      </c>
    </row>
    <row r="140" spans="1:4" x14ac:dyDescent="0.4">
      <c r="A140" s="145"/>
      <c r="B140" s="147"/>
      <c r="C140" s="166"/>
      <c r="D140" s="106">
        <f t="shared" si="58"/>
        <v>265</v>
      </c>
    </row>
    <row r="141" spans="1:4" x14ac:dyDescent="0.4">
      <c r="A141" s="145"/>
      <c r="B141" s="147"/>
      <c r="C141" s="142">
        <f t="shared" si="56"/>
        <v>280</v>
      </c>
      <c r="D141" s="106">
        <f t="shared" si="58"/>
        <v>280</v>
      </c>
    </row>
    <row r="142" spans="1:4" x14ac:dyDescent="0.4">
      <c r="A142" s="145"/>
      <c r="B142" s="147"/>
      <c r="C142" s="166"/>
      <c r="D142" s="106">
        <f t="shared" si="58"/>
        <v>300</v>
      </c>
    </row>
    <row r="143" spans="1:4" x14ac:dyDescent="0.4">
      <c r="A143" s="145"/>
      <c r="B143" s="147">
        <f t="shared" ref="B143" si="75">C143</f>
        <v>315</v>
      </c>
      <c r="C143" s="142">
        <f t="shared" si="56"/>
        <v>315</v>
      </c>
      <c r="D143" s="106">
        <f t="shared" si="58"/>
        <v>315</v>
      </c>
    </row>
    <row r="144" spans="1:4" x14ac:dyDescent="0.4">
      <c r="A144" s="145"/>
      <c r="B144" s="147"/>
      <c r="C144" s="166"/>
      <c r="D144" s="106">
        <f t="shared" si="58"/>
        <v>335</v>
      </c>
    </row>
    <row r="145" spans="1:4" x14ac:dyDescent="0.4">
      <c r="A145" s="145"/>
      <c r="B145" s="147"/>
      <c r="C145" s="142">
        <f t="shared" ref="C145:C178" si="76">D145</f>
        <v>355</v>
      </c>
      <c r="D145" s="106">
        <f t="shared" si="58"/>
        <v>355</v>
      </c>
    </row>
    <row r="146" spans="1:4" x14ac:dyDescent="0.4">
      <c r="A146" s="145"/>
      <c r="B146" s="147"/>
      <c r="C146" s="166"/>
      <c r="D146" s="106">
        <f t="shared" si="58"/>
        <v>375</v>
      </c>
    </row>
    <row r="147" spans="1:4" x14ac:dyDescent="0.4">
      <c r="A147" s="140">
        <f t="shared" si="63"/>
        <v>400</v>
      </c>
      <c r="B147" s="147">
        <f t="shared" ref="B147" si="77">C147</f>
        <v>400</v>
      </c>
      <c r="C147" s="142">
        <f t="shared" si="76"/>
        <v>400</v>
      </c>
      <c r="D147" s="106">
        <f t="shared" si="58"/>
        <v>400</v>
      </c>
    </row>
    <row r="148" spans="1:4" x14ac:dyDescent="0.4">
      <c r="A148" s="145"/>
      <c r="B148" s="147"/>
      <c r="C148" s="166"/>
      <c r="D148" s="106">
        <f t="shared" ref="D148:D211" si="78">D108*10</f>
        <v>425</v>
      </c>
    </row>
    <row r="149" spans="1:4" x14ac:dyDescent="0.4">
      <c r="A149" s="145"/>
      <c r="B149" s="147"/>
      <c r="C149" s="142">
        <f t="shared" si="76"/>
        <v>450</v>
      </c>
      <c r="D149" s="106">
        <f t="shared" si="78"/>
        <v>450</v>
      </c>
    </row>
    <row r="150" spans="1:4" x14ac:dyDescent="0.4">
      <c r="A150" s="145"/>
      <c r="B150" s="147"/>
      <c r="C150" s="166"/>
      <c r="D150" s="106">
        <f t="shared" si="78"/>
        <v>475</v>
      </c>
    </row>
    <row r="151" spans="1:4" x14ac:dyDescent="0.4">
      <c r="A151" s="145"/>
      <c r="B151" s="147">
        <f t="shared" ref="B151" si="79">C151</f>
        <v>500</v>
      </c>
      <c r="C151" s="142">
        <f t="shared" si="76"/>
        <v>500</v>
      </c>
      <c r="D151" s="106">
        <f t="shared" si="78"/>
        <v>500</v>
      </c>
    </row>
    <row r="152" spans="1:4" x14ac:dyDescent="0.4">
      <c r="A152" s="145"/>
      <c r="B152" s="147"/>
      <c r="C152" s="166"/>
      <c r="D152" s="106">
        <f t="shared" si="78"/>
        <v>530</v>
      </c>
    </row>
    <row r="153" spans="1:4" x14ac:dyDescent="0.4">
      <c r="A153" s="145"/>
      <c r="B153" s="147"/>
      <c r="C153" s="142">
        <f t="shared" si="76"/>
        <v>560</v>
      </c>
      <c r="D153" s="106">
        <f t="shared" si="78"/>
        <v>560</v>
      </c>
    </row>
    <row r="154" spans="1:4" x14ac:dyDescent="0.4">
      <c r="A154" s="145"/>
      <c r="B154" s="147"/>
      <c r="C154" s="166"/>
      <c r="D154" s="106">
        <f t="shared" si="78"/>
        <v>600</v>
      </c>
    </row>
    <row r="155" spans="1:4" x14ac:dyDescent="0.4">
      <c r="A155" s="140">
        <f t="shared" si="63"/>
        <v>630</v>
      </c>
      <c r="B155" s="147">
        <f t="shared" ref="B155" si="80">C155</f>
        <v>630</v>
      </c>
      <c r="C155" s="142">
        <f t="shared" si="76"/>
        <v>630</v>
      </c>
      <c r="D155" s="106">
        <f t="shared" si="78"/>
        <v>630</v>
      </c>
    </row>
    <row r="156" spans="1:4" x14ac:dyDescent="0.4">
      <c r="A156" s="145"/>
      <c r="B156" s="147"/>
      <c r="C156" s="166"/>
      <c r="D156" s="106">
        <f t="shared" si="78"/>
        <v>670</v>
      </c>
    </row>
    <row r="157" spans="1:4" x14ac:dyDescent="0.4">
      <c r="A157" s="145"/>
      <c r="B157" s="147"/>
      <c r="C157" s="142">
        <f t="shared" si="76"/>
        <v>710</v>
      </c>
      <c r="D157" s="106">
        <f t="shared" si="78"/>
        <v>710</v>
      </c>
    </row>
    <row r="158" spans="1:4" x14ac:dyDescent="0.4">
      <c r="A158" s="145"/>
      <c r="B158" s="147"/>
      <c r="C158" s="166"/>
      <c r="D158" s="106">
        <f t="shared" si="78"/>
        <v>750</v>
      </c>
    </row>
    <row r="159" spans="1:4" x14ac:dyDescent="0.4">
      <c r="A159" s="145"/>
      <c r="B159" s="147">
        <f t="shared" ref="B159" si="81">C159</f>
        <v>800</v>
      </c>
      <c r="C159" s="142">
        <f t="shared" si="76"/>
        <v>800</v>
      </c>
      <c r="D159" s="106">
        <f t="shared" si="78"/>
        <v>800</v>
      </c>
    </row>
    <row r="160" spans="1:4" x14ac:dyDescent="0.4">
      <c r="A160" s="145"/>
      <c r="B160" s="147"/>
      <c r="C160" s="166"/>
      <c r="D160" s="106">
        <f t="shared" si="78"/>
        <v>850</v>
      </c>
    </row>
    <row r="161" spans="1:4" x14ac:dyDescent="0.4">
      <c r="A161" s="145"/>
      <c r="B161" s="147"/>
      <c r="C161" s="142">
        <f t="shared" si="76"/>
        <v>900</v>
      </c>
      <c r="D161" s="106">
        <f t="shared" si="78"/>
        <v>900</v>
      </c>
    </row>
    <row r="162" spans="1:4" x14ac:dyDescent="0.4">
      <c r="A162" s="145"/>
      <c r="B162" s="147"/>
      <c r="C162" s="166"/>
      <c r="D162" s="106">
        <f t="shared" si="78"/>
        <v>950</v>
      </c>
    </row>
    <row r="163" spans="1:4" x14ac:dyDescent="0.4">
      <c r="A163" s="140">
        <f t="shared" ref="A163:B175" si="82">B163</f>
        <v>1000</v>
      </c>
      <c r="B163" s="147">
        <f t="shared" si="82"/>
        <v>1000</v>
      </c>
      <c r="C163" s="126">
        <f t="shared" si="76"/>
        <v>1000</v>
      </c>
      <c r="D163" s="106">
        <f t="shared" si="78"/>
        <v>1000</v>
      </c>
    </row>
    <row r="164" spans="1:4" x14ac:dyDescent="0.4">
      <c r="A164" s="145"/>
      <c r="B164" s="147"/>
      <c r="C164" s="126">
        <f t="shared" si="76"/>
        <v>1060.0000000000002</v>
      </c>
      <c r="D164" s="106">
        <f t="shared" si="78"/>
        <v>1060.0000000000002</v>
      </c>
    </row>
    <row r="165" spans="1:4" x14ac:dyDescent="0.4">
      <c r="A165" s="145"/>
      <c r="B165" s="147"/>
      <c r="C165" s="126">
        <f t="shared" si="76"/>
        <v>1120.0000000000002</v>
      </c>
      <c r="D165" s="106">
        <f t="shared" si="78"/>
        <v>1120.0000000000002</v>
      </c>
    </row>
    <row r="166" spans="1:4" x14ac:dyDescent="0.4">
      <c r="A166" s="145"/>
      <c r="B166" s="147"/>
      <c r="C166" s="126">
        <f t="shared" si="76"/>
        <v>1179.9999999999998</v>
      </c>
      <c r="D166" s="106">
        <f t="shared" si="78"/>
        <v>1179.9999999999998</v>
      </c>
    </row>
    <row r="167" spans="1:4" x14ac:dyDescent="0.4">
      <c r="A167" s="145"/>
      <c r="B167" s="147">
        <f t="shared" si="82"/>
        <v>1250</v>
      </c>
      <c r="C167" s="126">
        <f t="shared" si="76"/>
        <v>1250</v>
      </c>
      <c r="D167" s="106">
        <f t="shared" si="78"/>
        <v>1250</v>
      </c>
    </row>
    <row r="168" spans="1:4" x14ac:dyDescent="0.4">
      <c r="A168" s="145"/>
      <c r="B168" s="147"/>
      <c r="C168" s="126">
        <f t="shared" si="76"/>
        <v>1320</v>
      </c>
      <c r="D168" s="106">
        <f t="shared" si="78"/>
        <v>1320</v>
      </c>
    </row>
    <row r="169" spans="1:4" x14ac:dyDescent="0.4">
      <c r="A169" s="145"/>
      <c r="B169" s="147"/>
      <c r="C169" s="126">
        <f t="shared" si="76"/>
        <v>1400</v>
      </c>
      <c r="D169" s="106">
        <f t="shared" si="78"/>
        <v>1400</v>
      </c>
    </row>
    <row r="170" spans="1:4" x14ac:dyDescent="0.4">
      <c r="A170" s="145"/>
      <c r="B170" s="147"/>
      <c r="C170" s="126">
        <f t="shared" si="76"/>
        <v>1500</v>
      </c>
      <c r="D170" s="106">
        <f t="shared" si="78"/>
        <v>1500</v>
      </c>
    </row>
    <row r="171" spans="1:4" x14ac:dyDescent="0.4">
      <c r="A171" s="140">
        <f t="shared" si="82"/>
        <v>1600</v>
      </c>
      <c r="B171" s="147">
        <f t="shared" si="82"/>
        <v>1600</v>
      </c>
      <c r="C171" s="126">
        <f t="shared" si="76"/>
        <v>1600</v>
      </c>
      <c r="D171" s="106">
        <f t="shared" si="78"/>
        <v>1600</v>
      </c>
    </row>
    <row r="172" spans="1:4" x14ac:dyDescent="0.4">
      <c r="A172" s="145"/>
      <c r="B172" s="147"/>
      <c r="C172" s="126">
        <f t="shared" si="76"/>
        <v>1700</v>
      </c>
      <c r="D172" s="106">
        <f t="shared" si="78"/>
        <v>1700</v>
      </c>
    </row>
    <row r="173" spans="1:4" x14ac:dyDescent="0.4">
      <c r="A173" s="145"/>
      <c r="B173" s="147"/>
      <c r="C173" s="126">
        <f t="shared" si="76"/>
        <v>1800</v>
      </c>
      <c r="D173" s="106">
        <f t="shared" si="78"/>
        <v>1800</v>
      </c>
    </row>
    <row r="174" spans="1:4" x14ac:dyDescent="0.4">
      <c r="A174" s="145"/>
      <c r="B174" s="147"/>
      <c r="C174" s="126">
        <f t="shared" si="76"/>
        <v>1900</v>
      </c>
      <c r="D174" s="106">
        <f t="shared" si="78"/>
        <v>1900</v>
      </c>
    </row>
    <row r="175" spans="1:4" x14ac:dyDescent="0.4">
      <c r="A175" s="145"/>
      <c r="B175" s="147">
        <f t="shared" si="82"/>
        <v>2000</v>
      </c>
      <c r="C175" s="126">
        <f t="shared" si="76"/>
        <v>2000</v>
      </c>
      <c r="D175" s="106">
        <f t="shared" si="78"/>
        <v>2000</v>
      </c>
    </row>
    <row r="176" spans="1:4" x14ac:dyDescent="0.4">
      <c r="A176" s="145"/>
      <c r="B176" s="147"/>
      <c r="C176" s="126">
        <f t="shared" si="76"/>
        <v>2120.0000000000005</v>
      </c>
      <c r="D176" s="106">
        <f t="shared" si="78"/>
        <v>2120.0000000000005</v>
      </c>
    </row>
    <row r="177" spans="1:4" x14ac:dyDescent="0.4">
      <c r="A177" s="145"/>
      <c r="B177" s="147"/>
      <c r="C177" s="126">
        <f t="shared" si="76"/>
        <v>2240.0000000000005</v>
      </c>
      <c r="D177" s="106">
        <f t="shared" si="78"/>
        <v>2240.0000000000005</v>
      </c>
    </row>
    <row r="178" spans="1:4" x14ac:dyDescent="0.4">
      <c r="A178" s="146"/>
      <c r="B178" s="148"/>
      <c r="C178" s="109">
        <f t="shared" si="76"/>
        <v>2359.9999999999995</v>
      </c>
      <c r="D178" s="107">
        <f t="shared" si="78"/>
        <v>2359.9999999999995</v>
      </c>
    </row>
    <row r="179" spans="1:4" x14ac:dyDescent="0.4">
      <c r="A179" s="140">
        <f t="shared" ref="A179" si="83">B179</f>
        <v>2500</v>
      </c>
      <c r="B179" s="147">
        <f t="shared" ref="B179" si="84">C179</f>
        <v>2500</v>
      </c>
      <c r="C179" s="126">
        <f t="shared" ref="C179:C202" si="85">D179</f>
        <v>2500</v>
      </c>
      <c r="D179" s="106">
        <f t="shared" si="78"/>
        <v>2500</v>
      </c>
    </row>
    <row r="180" spans="1:4" x14ac:dyDescent="0.4">
      <c r="A180" s="145"/>
      <c r="B180" s="147"/>
      <c r="C180" s="126">
        <f t="shared" si="85"/>
        <v>2650</v>
      </c>
      <c r="D180" s="106">
        <f t="shared" si="78"/>
        <v>2650</v>
      </c>
    </row>
    <row r="181" spans="1:4" x14ac:dyDescent="0.4">
      <c r="A181" s="145"/>
      <c r="B181" s="147"/>
      <c r="C181" s="126">
        <f t="shared" si="85"/>
        <v>2800</v>
      </c>
      <c r="D181" s="106">
        <f t="shared" si="78"/>
        <v>2800</v>
      </c>
    </row>
    <row r="182" spans="1:4" x14ac:dyDescent="0.4">
      <c r="A182" s="145"/>
      <c r="B182" s="147"/>
      <c r="C182" s="126">
        <f t="shared" si="85"/>
        <v>3000</v>
      </c>
      <c r="D182" s="106">
        <f t="shared" si="78"/>
        <v>3000</v>
      </c>
    </row>
    <row r="183" spans="1:4" x14ac:dyDescent="0.4">
      <c r="A183" s="145"/>
      <c r="B183" s="147">
        <f t="shared" ref="B183" si="86">C183</f>
        <v>3150</v>
      </c>
      <c r="C183" s="126">
        <f t="shared" si="85"/>
        <v>3150</v>
      </c>
      <c r="D183" s="106">
        <f t="shared" si="78"/>
        <v>3150</v>
      </c>
    </row>
    <row r="184" spans="1:4" x14ac:dyDescent="0.4">
      <c r="A184" s="145"/>
      <c r="B184" s="147"/>
      <c r="C184" s="126">
        <f t="shared" si="85"/>
        <v>3350</v>
      </c>
      <c r="D184" s="106">
        <f t="shared" si="78"/>
        <v>3350</v>
      </c>
    </row>
    <row r="185" spans="1:4" x14ac:dyDescent="0.4">
      <c r="A185" s="145"/>
      <c r="B185" s="147"/>
      <c r="C185" s="126">
        <f t="shared" si="85"/>
        <v>3550</v>
      </c>
      <c r="D185" s="106">
        <f t="shared" si="78"/>
        <v>3550</v>
      </c>
    </row>
    <row r="186" spans="1:4" x14ac:dyDescent="0.4">
      <c r="A186" s="146"/>
      <c r="B186" s="148"/>
      <c r="C186" s="109">
        <f t="shared" si="85"/>
        <v>3750</v>
      </c>
      <c r="D186" s="107">
        <f t="shared" si="78"/>
        <v>3750</v>
      </c>
    </row>
    <row r="187" spans="1:4" x14ac:dyDescent="0.4">
      <c r="A187" s="140">
        <f t="shared" ref="A187" si="87">B187</f>
        <v>4000</v>
      </c>
      <c r="B187" s="147">
        <f t="shared" ref="B187" si="88">C187</f>
        <v>4000</v>
      </c>
      <c r="C187" s="126">
        <f t="shared" si="85"/>
        <v>4000</v>
      </c>
      <c r="D187" s="106">
        <f t="shared" si="78"/>
        <v>4000</v>
      </c>
    </row>
    <row r="188" spans="1:4" x14ac:dyDescent="0.4">
      <c r="A188" s="145"/>
      <c r="B188" s="147"/>
      <c r="C188" s="126">
        <f t="shared" si="85"/>
        <v>4250</v>
      </c>
      <c r="D188" s="106">
        <f t="shared" si="78"/>
        <v>4250</v>
      </c>
    </row>
    <row r="189" spans="1:4" x14ac:dyDescent="0.4">
      <c r="A189" s="145"/>
      <c r="B189" s="147"/>
      <c r="C189" s="126">
        <f t="shared" si="85"/>
        <v>4500</v>
      </c>
      <c r="D189" s="106">
        <f t="shared" si="78"/>
        <v>4500</v>
      </c>
    </row>
    <row r="190" spans="1:4" x14ac:dyDescent="0.4">
      <c r="A190" s="145"/>
      <c r="B190" s="147"/>
      <c r="C190" s="126">
        <f t="shared" si="85"/>
        <v>4750</v>
      </c>
      <c r="D190" s="106">
        <f t="shared" si="78"/>
        <v>4750</v>
      </c>
    </row>
    <row r="191" spans="1:4" x14ac:dyDescent="0.4">
      <c r="A191" s="145"/>
      <c r="B191" s="147">
        <f t="shared" ref="B191" si="89">C191</f>
        <v>5000</v>
      </c>
      <c r="C191" s="126">
        <f t="shared" si="85"/>
        <v>5000</v>
      </c>
      <c r="D191" s="106">
        <f t="shared" si="78"/>
        <v>5000</v>
      </c>
    </row>
    <row r="192" spans="1:4" x14ac:dyDescent="0.4">
      <c r="A192" s="145"/>
      <c r="B192" s="147"/>
      <c r="C192" s="126">
        <f t="shared" si="85"/>
        <v>5300</v>
      </c>
      <c r="D192" s="106">
        <f t="shared" si="78"/>
        <v>5300</v>
      </c>
    </row>
    <row r="193" spans="1:4" x14ac:dyDescent="0.4">
      <c r="A193" s="145"/>
      <c r="B193" s="147"/>
      <c r="C193" s="126">
        <f t="shared" si="85"/>
        <v>5600</v>
      </c>
      <c r="D193" s="106">
        <f t="shared" si="78"/>
        <v>5600</v>
      </c>
    </row>
    <row r="194" spans="1:4" x14ac:dyDescent="0.4">
      <c r="A194" s="146"/>
      <c r="B194" s="148"/>
      <c r="C194" s="109">
        <f t="shared" si="85"/>
        <v>6000</v>
      </c>
      <c r="D194" s="107">
        <f t="shared" si="78"/>
        <v>6000</v>
      </c>
    </row>
    <row r="195" spans="1:4" x14ac:dyDescent="0.4">
      <c r="A195" s="140">
        <f t="shared" ref="A195" si="90">B195</f>
        <v>6300</v>
      </c>
      <c r="B195" s="147">
        <f t="shared" ref="B195" si="91">C195</f>
        <v>6300</v>
      </c>
      <c r="C195" s="126">
        <f t="shared" si="85"/>
        <v>6300</v>
      </c>
      <c r="D195" s="106">
        <f t="shared" si="78"/>
        <v>6300</v>
      </c>
    </row>
    <row r="196" spans="1:4" x14ac:dyDescent="0.4">
      <c r="A196" s="145"/>
      <c r="B196" s="147"/>
      <c r="C196" s="126">
        <f t="shared" si="85"/>
        <v>6700</v>
      </c>
      <c r="D196" s="106">
        <f t="shared" si="78"/>
        <v>6700</v>
      </c>
    </row>
    <row r="197" spans="1:4" x14ac:dyDescent="0.4">
      <c r="A197" s="145"/>
      <c r="B197" s="147"/>
      <c r="C197" s="126">
        <f t="shared" si="85"/>
        <v>7100</v>
      </c>
      <c r="D197" s="106">
        <f t="shared" si="78"/>
        <v>7100</v>
      </c>
    </row>
    <row r="198" spans="1:4" x14ac:dyDescent="0.4">
      <c r="A198" s="145"/>
      <c r="B198" s="147"/>
      <c r="C198" s="126">
        <f t="shared" si="85"/>
        <v>7500</v>
      </c>
      <c r="D198" s="106">
        <f t="shared" si="78"/>
        <v>7500</v>
      </c>
    </row>
    <row r="199" spans="1:4" x14ac:dyDescent="0.4">
      <c r="A199" s="145"/>
      <c r="B199" s="147">
        <f t="shared" ref="B199" si="92">C199</f>
        <v>8000</v>
      </c>
      <c r="C199" s="126">
        <f t="shared" si="85"/>
        <v>8000</v>
      </c>
      <c r="D199" s="106">
        <f t="shared" si="78"/>
        <v>8000</v>
      </c>
    </row>
    <row r="200" spans="1:4" x14ac:dyDescent="0.4">
      <c r="A200" s="145"/>
      <c r="B200" s="147"/>
      <c r="C200" s="126">
        <f t="shared" si="85"/>
        <v>8500</v>
      </c>
      <c r="D200" s="106">
        <f t="shared" si="78"/>
        <v>8500</v>
      </c>
    </row>
    <row r="201" spans="1:4" x14ac:dyDescent="0.4">
      <c r="A201" s="145"/>
      <c r="B201" s="147"/>
      <c r="C201" s="126">
        <f t="shared" si="85"/>
        <v>9000</v>
      </c>
      <c r="D201" s="106">
        <f t="shared" si="78"/>
        <v>9000</v>
      </c>
    </row>
    <row r="202" spans="1:4" x14ac:dyDescent="0.4">
      <c r="A202" s="146"/>
      <c r="B202" s="148"/>
      <c r="C202" s="109">
        <f t="shared" si="85"/>
        <v>9500</v>
      </c>
      <c r="D202" s="107">
        <f t="shared" si="78"/>
        <v>9500</v>
      </c>
    </row>
    <row r="203" spans="1:4" x14ac:dyDescent="0.4">
      <c r="A203" s="140">
        <f t="shared" ref="A203" si="93">B203</f>
        <v>10000</v>
      </c>
      <c r="B203" s="147">
        <f t="shared" ref="B203" si="94">C203</f>
        <v>10000</v>
      </c>
      <c r="C203" s="126">
        <f t="shared" ref="C203:C266" si="95">D203</f>
        <v>10000</v>
      </c>
      <c r="D203" s="106">
        <f t="shared" si="78"/>
        <v>10000</v>
      </c>
    </row>
    <row r="204" spans="1:4" x14ac:dyDescent="0.4">
      <c r="A204" s="145"/>
      <c r="B204" s="147"/>
      <c r="C204" s="126">
        <f t="shared" si="95"/>
        <v>10600.000000000002</v>
      </c>
      <c r="D204" s="106">
        <f t="shared" si="78"/>
        <v>10600.000000000002</v>
      </c>
    </row>
    <row r="205" spans="1:4" x14ac:dyDescent="0.4">
      <c r="A205" s="145"/>
      <c r="B205" s="147"/>
      <c r="C205" s="126">
        <f t="shared" si="95"/>
        <v>11200.000000000002</v>
      </c>
      <c r="D205" s="106">
        <f t="shared" si="78"/>
        <v>11200.000000000002</v>
      </c>
    </row>
    <row r="206" spans="1:4" x14ac:dyDescent="0.4">
      <c r="A206" s="145"/>
      <c r="B206" s="147"/>
      <c r="C206" s="126">
        <f t="shared" si="95"/>
        <v>11799.999999999998</v>
      </c>
      <c r="D206" s="106">
        <f t="shared" si="78"/>
        <v>11799.999999999998</v>
      </c>
    </row>
    <row r="207" spans="1:4" x14ac:dyDescent="0.4">
      <c r="A207" s="145"/>
      <c r="B207" s="147">
        <f t="shared" ref="B207" si="96">C207</f>
        <v>12500</v>
      </c>
      <c r="C207" s="126">
        <f t="shared" si="95"/>
        <v>12500</v>
      </c>
      <c r="D207" s="106">
        <f t="shared" si="78"/>
        <v>12500</v>
      </c>
    </row>
    <row r="208" spans="1:4" x14ac:dyDescent="0.4">
      <c r="A208" s="145"/>
      <c r="B208" s="147"/>
      <c r="C208" s="126">
        <f t="shared" si="95"/>
        <v>13200</v>
      </c>
      <c r="D208" s="106">
        <f t="shared" si="78"/>
        <v>13200</v>
      </c>
    </row>
    <row r="209" spans="1:4" x14ac:dyDescent="0.4">
      <c r="A209" s="145"/>
      <c r="B209" s="147"/>
      <c r="C209" s="126">
        <f t="shared" si="95"/>
        <v>14000</v>
      </c>
      <c r="D209" s="106">
        <f t="shared" si="78"/>
        <v>14000</v>
      </c>
    </row>
    <row r="210" spans="1:4" x14ac:dyDescent="0.4">
      <c r="A210" s="146"/>
      <c r="B210" s="148"/>
      <c r="C210" s="109">
        <f t="shared" si="95"/>
        <v>15000</v>
      </c>
      <c r="D210" s="107">
        <f t="shared" si="78"/>
        <v>15000</v>
      </c>
    </row>
    <row r="211" spans="1:4" x14ac:dyDescent="0.4">
      <c r="A211" s="140">
        <f t="shared" ref="A211" si="97">B211</f>
        <v>16000</v>
      </c>
      <c r="B211" s="147">
        <f t="shared" ref="B211" si="98">C211</f>
        <v>16000</v>
      </c>
      <c r="C211" s="126">
        <f t="shared" si="95"/>
        <v>16000</v>
      </c>
      <c r="D211" s="106">
        <f t="shared" si="78"/>
        <v>16000</v>
      </c>
    </row>
    <row r="212" spans="1:4" x14ac:dyDescent="0.4">
      <c r="A212" s="145"/>
      <c r="B212" s="147"/>
      <c r="C212" s="126">
        <f t="shared" si="95"/>
        <v>17000</v>
      </c>
      <c r="D212" s="106">
        <f t="shared" ref="D212:D275" si="99">D172*10</f>
        <v>17000</v>
      </c>
    </row>
    <row r="213" spans="1:4" x14ac:dyDescent="0.4">
      <c r="A213" s="145"/>
      <c r="B213" s="147"/>
      <c r="C213" s="126">
        <f t="shared" si="95"/>
        <v>18000</v>
      </c>
      <c r="D213" s="106">
        <f t="shared" si="99"/>
        <v>18000</v>
      </c>
    </row>
    <row r="214" spans="1:4" x14ac:dyDescent="0.4">
      <c r="A214" s="145"/>
      <c r="B214" s="147"/>
      <c r="C214" s="126">
        <f t="shared" si="95"/>
        <v>19000</v>
      </c>
      <c r="D214" s="106">
        <f t="shared" si="99"/>
        <v>19000</v>
      </c>
    </row>
    <row r="215" spans="1:4" x14ac:dyDescent="0.4">
      <c r="A215" s="145"/>
      <c r="B215" s="147">
        <f t="shared" ref="B215" si="100">C215</f>
        <v>20000</v>
      </c>
      <c r="C215" s="126">
        <f t="shared" si="95"/>
        <v>20000</v>
      </c>
      <c r="D215" s="106">
        <f t="shared" si="99"/>
        <v>20000</v>
      </c>
    </row>
    <row r="216" spans="1:4" x14ac:dyDescent="0.4">
      <c r="A216" s="145"/>
      <c r="B216" s="147"/>
      <c r="C216" s="126">
        <f t="shared" si="95"/>
        <v>21200.000000000004</v>
      </c>
      <c r="D216" s="106">
        <f t="shared" si="99"/>
        <v>21200.000000000004</v>
      </c>
    </row>
    <row r="217" spans="1:4" x14ac:dyDescent="0.4">
      <c r="A217" s="145"/>
      <c r="B217" s="147"/>
      <c r="C217" s="126">
        <f t="shared" si="95"/>
        <v>22400.000000000004</v>
      </c>
      <c r="D217" s="106">
        <f t="shared" si="99"/>
        <v>22400.000000000004</v>
      </c>
    </row>
    <row r="218" spans="1:4" x14ac:dyDescent="0.4">
      <c r="A218" s="146"/>
      <c r="B218" s="148"/>
      <c r="C218" s="109">
        <f t="shared" si="95"/>
        <v>23599.999999999996</v>
      </c>
      <c r="D218" s="107">
        <f t="shared" si="99"/>
        <v>23599.999999999996</v>
      </c>
    </row>
    <row r="219" spans="1:4" x14ac:dyDescent="0.4">
      <c r="A219" s="140">
        <f t="shared" ref="A219" si="101">B219</f>
        <v>25000</v>
      </c>
      <c r="B219" s="147">
        <f t="shared" ref="B219" si="102">C219</f>
        <v>25000</v>
      </c>
      <c r="C219" s="126">
        <f t="shared" si="95"/>
        <v>25000</v>
      </c>
      <c r="D219" s="106">
        <f t="shared" si="99"/>
        <v>25000</v>
      </c>
    </row>
    <row r="220" spans="1:4" x14ac:dyDescent="0.4">
      <c r="A220" s="145"/>
      <c r="B220" s="147"/>
      <c r="C220" s="126">
        <f t="shared" si="95"/>
        <v>26500</v>
      </c>
      <c r="D220" s="106">
        <f t="shared" si="99"/>
        <v>26500</v>
      </c>
    </row>
    <row r="221" spans="1:4" x14ac:dyDescent="0.4">
      <c r="A221" s="145"/>
      <c r="B221" s="147"/>
      <c r="C221" s="126">
        <f t="shared" si="95"/>
        <v>28000</v>
      </c>
      <c r="D221" s="106">
        <f t="shared" si="99"/>
        <v>28000</v>
      </c>
    </row>
    <row r="222" spans="1:4" x14ac:dyDescent="0.4">
      <c r="A222" s="145"/>
      <c r="B222" s="147"/>
      <c r="C222" s="126">
        <f t="shared" si="95"/>
        <v>30000</v>
      </c>
      <c r="D222" s="106">
        <f t="shared" si="99"/>
        <v>30000</v>
      </c>
    </row>
    <row r="223" spans="1:4" x14ac:dyDescent="0.4">
      <c r="A223" s="145"/>
      <c r="B223" s="147">
        <f t="shared" ref="B223" si="103">C223</f>
        <v>31500</v>
      </c>
      <c r="C223" s="126">
        <f t="shared" si="95"/>
        <v>31500</v>
      </c>
      <c r="D223" s="106">
        <f t="shared" si="99"/>
        <v>31500</v>
      </c>
    </row>
    <row r="224" spans="1:4" x14ac:dyDescent="0.4">
      <c r="A224" s="145"/>
      <c r="B224" s="147"/>
      <c r="C224" s="126">
        <f t="shared" si="95"/>
        <v>33500</v>
      </c>
      <c r="D224" s="106">
        <f t="shared" si="99"/>
        <v>33500</v>
      </c>
    </row>
    <row r="225" spans="1:4" x14ac:dyDescent="0.4">
      <c r="A225" s="145"/>
      <c r="B225" s="147"/>
      <c r="C225" s="126">
        <f t="shared" si="95"/>
        <v>35500</v>
      </c>
      <c r="D225" s="106">
        <f t="shared" si="99"/>
        <v>35500</v>
      </c>
    </row>
    <row r="226" spans="1:4" x14ac:dyDescent="0.4">
      <c r="A226" s="146"/>
      <c r="B226" s="148"/>
      <c r="C226" s="109">
        <f t="shared" si="95"/>
        <v>37500</v>
      </c>
      <c r="D226" s="107">
        <f t="shared" si="99"/>
        <v>37500</v>
      </c>
    </row>
    <row r="227" spans="1:4" x14ac:dyDescent="0.4">
      <c r="A227" s="140">
        <f t="shared" ref="A227" si="104">B227</f>
        <v>40000</v>
      </c>
      <c r="B227" s="147">
        <f t="shared" ref="B227" si="105">C227</f>
        <v>40000</v>
      </c>
      <c r="C227" s="126">
        <f t="shared" si="95"/>
        <v>40000</v>
      </c>
      <c r="D227" s="106">
        <f t="shared" si="99"/>
        <v>40000</v>
      </c>
    </row>
    <row r="228" spans="1:4" x14ac:dyDescent="0.4">
      <c r="A228" s="145"/>
      <c r="B228" s="147"/>
      <c r="C228" s="126">
        <f t="shared" si="95"/>
        <v>42500</v>
      </c>
      <c r="D228" s="106">
        <f t="shared" si="99"/>
        <v>42500</v>
      </c>
    </row>
    <row r="229" spans="1:4" x14ac:dyDescent="0.4">
      <c r="A229" s="145"/>
      <c r="B229" s="147"/>
      <c r="C229" s="126">
        <f t="shared" si="95"/>
        <v>45000</v>
      </c>
      <c r="D229" s="106">
        <f t="shared" si="99"/>
        <v>45000</v>
      </c>
    </row>
    <row r="230" spans="1:4" x14ac:dyDescent="0.4">
      <c r="A230" s="145"/>
      <c r="B230" s="147"/>
      <c r="C230" s="126">
        <f t="shared" si="95"/>
        <v>47500</v>
      </c>
      <c r="D230" s="106">
        <f t="shared" si="99"/>
        <v>47500</v>
      </c>
    </row>
    <row r="231" spans="1:4" x14ac:dyDescent="0.4">
      <c r="A231" s="145"/>
      <c r="B231" s="147">
        <f t="shared" ref="B231" si="106">C231</f>
        <v>50000</v>
      </c>
      <c r="C231" s="126">
        <f t="shared" si="95"/>
        <v>50000</v>
      </c>
      <c r="D231" s="106">
        <f t="shared" si="99"/>
        <v>50000</v>
      </c>
    </row>
    <row r="232" spans="1:4" x14ac:dyDescent="0.4">
      <c r="A232" s="145"/>
      <c r="B232" s="147"/>
      <c r="C232" s="126">
        <f t="shared" si="95"/>
        <v>53000</v>
      </c>
      <c r="D232" s="106">
        <f t="shared" si="99"/>
        <v>53000</v>
      </c>
    </row>
    <row r="233" spans="1:4" x14ac:dyDescent="0.4">
      <c r="A233" s="145"/>
      <c r="B233" s="147"/>
      <c r="C233" s="126">
        <f t="shared" si="95"/>
        <v>56000</v>
      </c>
      <c r="D233" s="106">
        <f t="shared" si="99"/>
        <v>56000</v>
      </c>
    </row>
    <row r="234" spans="1:4" x14ac:dyDescent="0.4">
      <c r="A234" s="146"/>
      <c r="B234" s="148"/>
      <c r="C234" s="109">
        <f t="shared" si="95"/>
        <v>60000</v>
      </c>
      <c r="D234" s="107">
        <f t="shared" si="99"/>
        <v>60000</v>
      </c>
    </row>
    <row r="235" spans="1:4" x14ac:dyDescent="0.4">
      <c r="A235" s="140">
        <f t="shared" ref="A235" si="107">B235</f>
        <v>63000</v>
      </c>
      <c r="B235" s="147">
        <f t="shared" ref="B235" si="108">C235</f>
        <v>63000</v>
      </c>
      <c r="C235" s="126">
        <f t="shared" si="95"/>
        <v>63000</v>
      </c>
      <c r="D235" s="106">
        <f t="shared" si="99"/>
        <v>63000</v>
      </c>
    </row>
    <row r="236" spans="1:4" x14ac:dyDescent="0.4">
      <c r="A236" s="145"/>
      <c r="B236" s="147"/>
      <c r="C236" s="126">
        <f t="shared" si="95"/>
        <v>67000</v>
      </c>
      <c r="D236" s="106">
        <f t="shared" si="99"/>
        <v>67000</v>
      </c>
    </row>
    <row r="237" spans="1:4" x14ac:dyDescent="0.4">
      <c r="A237" s="145"/>
      <c r="B237" s="147"/>
      <c r="C237" s="126">
        <f t="shared" si="95"/>
        <v>71000</v>
      </c>
      <c r="D237" s="106">
        <f t="shared" si="99"/>
        <v>71000</v>
      </c>
    </row>
    <row r="238" spans="1:4" x14ac:dyDescent="0.4">
      <c r="A238" s="145"/>
      <c r="B238" s="147"/>
      <c r="C238" s="126">
        <f t="shared" si="95"/>
        <v>75000</v>
      </c>
      <c r="D238" s="106">
        <f t="shared" si="99"/>
        <v>75000</v>
      </c>
    </row>
    <row r="239" spans="1:4" x14ac:dyDescent="0.4">
      <c r="A239" s="145"/>
      <c r="B239" s="147">
        <f t="shared" ref="B239" si="109">C239</f>
        <v>80000</v>
      </c>
      <c r="C239" s="126">
        <f t="shared" si="95"/>
        <v>80000</v>
      </c>
      <c r="D239" s="106">
        <f t="shared" si="99"/>
        <v>80000</v>
      </c>
    </row>
    <row r="240" spans="1:4" x14ac:dyDescent="0.4">
      <c r="A240" s="145"/>
      <c r="B240" s="147"/>
      <c r="C240" s="126">
        <f t="shared" si="95"/>
        <v>85000</v>
      </c>
      <c r="D240" s="106">
        <f t="shared" si="99"/>
        <v>85000</v>
      </c>
    </row>
    <row r="241" spans="1:4" x14ac:dyDescent="0.4">
      <c r="A241" s="145"/>
      <c r="B241" s="147"/>
      <c r="C241" s="126">
        <f t="shared" si="95"/>
        <v>90000</v>
      </c>
      <c r="D241" s="106">
        <f t="shared" si="99"/>
        <v>90000</v>
      </c>
    </row>
    <row r="242" spans="1:4" x14ac:dyDescent="0.4">
      <c r="A242" s="146"/>
      <c r="B242" s="148"/>
      <c r="C242" s="109">
        <f t="shared" si="95"/>
        <v>95000</v>
      </c>
      <c r="D242" s="107">
        <f t="shared" si="99"/>
        <v>95000</v>
      </c>
    </row>
    <row r="243" spans="1:4" x14ac:dyDescent="0.4">
      <c r="A243" s="140">
        <f t="shared" ref="A243" si="110">B243</f>
        <v>100000</v>
      </c>
      <c r="B243" s="147">
        <f t="shared" ref="B243" si="111">C243</f>
        <v>100000</v>
      </c>
      <c r="C243" s="126">
        <f t="shared" si="95"/>
        <v>100000</v>
      </c>
      <c r="D243" s="106">
        <f t="shared" si="99"/>
        <v>100000</v>
      </c>
    </row>
    <row r="244" spans="1:4" x14ac:dyDescent="0.4">
      <c r="A244" s="145"/>
      <c r="B244" s="147"/>
      <c r="C244" s="126">
        <f t="shared" si="95"/>
        <v>106000.00000000001</v>
      </c>
      <c r="D244" s="106">
        <f t="shared" si="99"/>
        <v>106000.00000000001</v>
      </c>
    </row>
    <row r="245" spans="1:4" x14ac:dyDescent="0.4">
      <c r="A245" s="145"/>
      <c r="B245" s="147"/>
      <c r="C245" s="126">
        <f t="shared" si="95"/>
        <v>112000.00000000001</v>
      </c>
      <c r="D245" s="106">
        <f t="shared" si="99"/>
        <v>112000.00000000001</v>
      </c>
    </row>
    <row r="246" spans="1:4" x14ac:dyDescent="0.4">
      <c r="A246" s="145"/>
      <c r="B246" s="147"/>
      <c r="C246" s="126">
        <f t="shared" si="95"/>
        <v>117999.99999999999</v>
      </c>
      <c r="D246" s="106">
        <f t="shared" si="99"/>
        <v>117999.99999999999</v>
      </c>
    </row>
    <row r="247" spans="1:4" x14ac:dyDescent="0.4">
      <c r="A247" s="145"/>
      <c r="B247" s="147">
        <f t="shared" ref="B247" si="112">C247</f>
        <v>125000</v>
      </c>
      <c r="C247" s="126">
        <f t="shared" si="95"/>
        <v>125000</v>
      </c>
      <c r="D247" s="106">
        <f t="shared" si="99"/>
        <v>125000</v>
      </c>
    </row>
    <row r="248" spans="1:4" x14ac:dyDescent="0.4">
      <c r="A248" s="145"/>
      <c r="B248" s="147"/>
      <c r="C248" s="126">
        <f t="shared" si="95"/>
        <v>132000</v>
      </c>
      <c r="D248" s="106">
        <f t="shared" si="99"/>
        <v>132000</v>
      </c>
    </row>
    <row r="249" spans="1:4" x14ac:dyDescent="0.4">
      <c r="A249" s="145"/>
      <c r="B249" s="147"/>
      <c r="C249" s="126">
        <f t="shared" si="95"/>
        <v>140000</v>
      </c>
      <c r="D249" s="106">
        <f t="shared" si="99"/>
        <v>140000</v>
      </c>
    </row>
    <row r="250" spans="1:4" x14ac:dyDescent="0.4">
      <c r="A250" s="146"/>
      <c r="B250" s="148"/>
      <c r="C250" s="109">
        <f t="shared" si="95"/>
        <v>150000</v>
      </c>
      <c r="D250" s="107">
        <f t="shared" si="99"/>
        <v>150000</v>
      </c>
    </row>
    <row r="251" spans="1:4" x14ac:dyDescent="0.4">
      <c r="A251" s="140">
        <f t="shared" ref="A251" si="113">B251</f>
        <v>160000</v>
      </c>
      <c r="B251" s="147">
        <f t="shared" ref="B251" si="114">C251</f>
        <v>160000</v>
      </c>
      <c r="C251" s="126">
        <f t="shared" si="95"/>
        <v>160000</v>
      </c>
      <c r="D251" s="106">
        <f t="shared" si="99"/>
        <v>160000</v>
      </c>
    </row>
    <row r="252" spans="1:4" x14ac:dyDescent="0.4">
      <c r="A252" s="145"/>
      <c r="B252" s="147"/>
      <c r="C252" s="126">
        <f t="shared" si="95"/>
        <v>170000</v>
      </c>
      <c r="D252" s="106">
        <f t="shared" si="99"/>
        <v>170000</v>
      </c>
    </row>
    <row r="253" spans="1:4" x14ac:dyDescent="0.4">
      <c r="A253" s="145"/>
      <c r="B253" s="147"/>
      <c r="C253" s="126">
        <f t="shared" si="95"/>
        <v>180000</v>
      </c>
      <c r="D253" s="106">
        <f t="shared" si="99"/>
        <v>180000</v>
      </c>
    </row>
    <row r="254" spans="1:4" x14ac:dyDescent="0.4">
      <c r="A254" s="145"/>
      <c r="B254" s="147"/>
      <c r="C254" s="126">
        <f t="shared" si="95"/>
        <v>190000</v>
      </c>
      <c r="D254" s="106">
        <f t="shared" si="99"/>
        <v>190000</v>
      </c>
    </row>
    <row r="255" spans="1:4" x14ac:dyDescent="0.4">
      <c r="A255" s="145"/>
      <c r="B255" s="147">
        <f t="shared" ref="B255" si="115">C255</f>
        <v>200000</v>
      </c>
      <c r="C255" s="126">
        <f t="shared" si="95"/>
        <v>200000</v>
      </c>
      <c r="D255" s="106">
        <f t="shared" si="99"/>
        <v>200000</v>
      </c>
    </row>
    <row r="256" spans="1:4" x14ac:dyDescent="0.4">
      <c r="A256" s="145"/>
      <c r="B256" s="147"/>
      <c r="C256" s="126">
        <f t="shared" si="95"/>
        <v>212000.00000000003</v>
      </c>
      <c r="D256" s="106">
        <f t="shared" si="99"/>
        <v>212000.00000000003</v>
      </c>
    </row>
    <row r="257" spans="1:4" x14ac:dyDescent="0.4">
      <c r="A257" s="145"/>
      <c r="B257" s="147"/>
      <c r="C257" s="126">
        <f t="shared" si="95"/>
        <v>224000.00000000003</v>
      </c>
      <c r="D257" s="106">
        <f t="shared" si="99"/>
        <v>224000.00000000003</v>
      </c>
    </row>
    <row r="258" spans="1:4" x14ac:dyDescent="0.4">
      <c r="A258" s="146"/>
      <c r="B258" s="148"/>
      <c r="C258" s="109">
        <f t="shared" si="95"/>
        <v>235999.99999999997</v>
      </c>
      <c r="D258" s="107">
        <f t="shared" si="99"/>
        <v>235999.99999999997</v>
      </c>
    </row>
    <row r="259" spans="1:4" x14ac:dyDescent="0.4">
      <c r="A259" s="140">
        <f t="shared" ref="A259" si="116">B259</f>
        <v>250000</v>
      </c>
      <c r="B259" s="147">
        <f t="shared" ref="B259" si="117">C259</f>
        <v>250000</v>
      </c>
      <c r="C259" s="126">
        <f t="shared" si="95"/>
        <v>250000</v>
      </c>
      <c r="D259" s="106">
        <f t="shared" si="99"/>
        <v>250000</v>
      </c>
    </row>
    <row r="260" spans="1:4" x14ac:dyDescent="0.4">
      <c r="A260" s="145"/>
      <c r="B260" s="147"/>
      <c r="C260" s="126">
        <f t="shared" si="95"/>
        <v>265000</v>
      </c>
      <c r="D260" s="106">
        <f t="shared" si="99"/>
        <v>265000</v>
      </c>
    </row>
    <row r="261" spans="1:4" x14ac:dyDescent="0.4">
      <c r="A261" s="145"/>
      <c r="B261" s="147"/>
      <c r="C261" s="126">
        <f t="shared" si="95"/>
        <v>280000</v>
      </c>
      <c r="D261" s="106">
        <f t="shared" si="99"/>
        <v>280000</v>
      </c>
    </row>
    <row r="262" spans="1:4" x14ac:dyDescent="0.4">
      <c r="A262" s="145"/>
      <c r="B262" s="147"/>
      <c r="C262" s="126">
        <f t="shared" si="95"/>
        <v>300000</v>
      </c>
      <c r="D262" s="106">
        <f t="shared" si="99"/>
        <v>300000</v>
      </c>
    </row>
    <row r="263" spans="1:4" x14ac:dyDescent="0.4">
      <c r="A263" s="145"/>
      <c r="B263" s="147">
        <f t="shared" ref="B263" si="118">C263</f>
        <v>315000</v>
      </c>
      <c r="C263" s="126">
        <f t="shared" si="95"/>
        <v>315000</v>
      </c>
      <c r="D263" s="106">
        <f t="shared" si="99"/>
        <v>315000</v>
      </c>
    </row>
    <row r="264" spans="1:4" x14ac:dyDescent="0.4">
      <c r="A264" s="145"/>
      <c r="B264" s="147"/>
      <c r="C264" s="126">
        <f t="shared" si="95"/>
        <v>335000</v>
      </c>
      <c r="D264" s="106">
        <f t="shared" si="99"/>
        <v>335000</v>
      </c>
    </row>
    <row r="265" spans="1:4" x14ac:dyDescent="0.4">
      <c r="A265" s="145"/>
      <c r="B265" s="147"/>
      <c r="C265" s="126">
        <f t="shared" si="95"/>
        <v>355000</v>
      </c>
      <c r="D265" s="106">
        <f t="shared" si="99"/>
        <v>355000</v>
      </c>
    </row>
    <row r="266" spans="1:4" x14ac:dyDescent="0.4">
      <c r="A266" s="146"/>
      <c r="B266" s="148"/>
      <c r="C266" s="109">
        <f t="shared" si="95"/>
        <v>375000</v>
      </c>
      <c r="D266" s="107">
        <f t="shared" si="99"/>
        <v>375000</v>
      </c>
    </row>
    <row r="267" spans="1:4" x14ac:dyDescent="0.4">
      <c r="A267" s="140">
        <f t="shared" ref="A267" si="119">B267</f>
        <v>400000</v>
      </c>
      <c r="B267" s="147">
        <f t="shared" ref="B267" si="120">C267</f>
        <v>400000</v>
      </c>
      <c r="C267" s="126">
        <f t="shared" ref="C267:C290" si="121">D267</f>
        <v>400000</v>
      </c>
      <c r="D267" s="106">
        <f t="shared" si="99"/>
        <v>400000</v>
      </c>
    </row>
    <row r="268" spans="1:4" x14ac:dyDescent="0.4">
      <c r="A268" s="145"/>
      <c r="B268" s="147"/>
      <c r="C268" s="126">
        <f t="shared" si="121"/>
        <v>425000</v>
      </c>
      <c r="D268" s="106">
        <f t="shared" si="99"/>
        <v>425000</v>
      </c>
    </row>
    <row r="269" spans="1:4" x14ac:dyDescent="0.4">
      <c r="A269" s="145"/>
      <c r="B269" s="147"/>
      <c r="C269" s="126">
        <f t="shared" si="121"/>
        <v>450000</v>
      </c>
      <c r="D269" s="106">
        <f t="shared" si="99"/>
        <v>450000</v>
      </c>
    </row>
    <row r="270" spans="1:4" x14ac:dyDescent="0.4">
      <c r="A270" s="145"/>
      <c r="B270" s="147"/>
      <c r="C270" s="126">
        <f t="shared" si="121"/>
        <v>475000</v>
      </c>
      <c r="D270" s="106">
        <f t="shared" si="99"/>
        <v>475000</v>
      </c>
    </row>
    <row r="271" spans="1:4" x14ac:dyDescent="0.4">
      <c r="A271" s="145"/>
      <c r="B271" s="147">
        <f t="shared" ref="B271" si="122">C271</f>
        <v>500000</v>
      </c>
      <c r="C271" s="126">
        <f t="shared" si="121"/>
        <v>500000</v>
      </c>
      <c r="D271" s="106">
        <f t="shared" si="99"/>
        <v>500000</v>
      </c>
    </row>
    <row r="272" spans="1:4" x14ac:dyDescent="0.4">
      <c r="A272" s="145"/>
      <c r="B272" s="147"/>
      <c r="C272" s="126">
        <f t="shared" si="121"/>
        <v>530000</v>
      </c>
      <c r="D272" s="106">
        <f t="shared" si="99"/>
        <v>530000</v>
      </c>
    </row>
    <row r="273" spans="1:4" x14ac:dyDescent="0.4">
      <c r="A273" s="145"/>
      <c r="B273" s="147"/>
      <c r="C273" s="126">
        <f t="shared" si="121"/>
        <v>560000</v>
      </c>
      <c r="D273" s="106">
        <f t="shared" si="99"/>
        <v>560000</v>
      </c>
    </row>
    <row r="274" spans="1:4" x14ac:dyDescent="0.4">
      <c r="A274" s="146"/>
      <c r="B274" s="148"/>
      <c r="C274" s="109">
        <f t="shared" si="121"/>
        <v>600000</v>
      </c>
      <c r="D274" s="107">
        <f t="shared" si="99"/>
        <v>600000</v>
      </c>
    </row>
    <row r="275" spans="1:4" x14ac:dyDescent="0.4">
      <c r="A275" s="140">
        <f t="shared" ref="A275" si="123">B275</f>
        <v>630000</v>
      </c>
      <c r="B275" s="147">
        <f t="shared" ref="B275" si="124">C275</f>
        <v>630000</v>
      </c>
      <c r="C275" s="126">
        <f t="shared" si="121"/>
        <v>630000</v>
      </c>
      <c r="D275" s="106">
        <f t="shared" si="99"/>
        <v>630000</v>
      </c>
    </row>
    <row r="276" spans="1:4" x14ac:dyDescent="0.4">
      <c r="A276" s="145"/>
      <c r="B276" s="147"/>
      <c r="C276" s="126">
        <f t="shared" si="121"/>
        <v>670000</v>
      </c>
      <c r="D276" s="106">
        <f t="shared" ref="D276:D322" si="125">D236*10</f>
        <v>670000</v>
      </c>
    </row>
    <row r="277" spans="1:4" x14ac:dyDescent="0.4">
      <c r="A277" s="145"/>
      <c r="B277" s="147"/>
      <c r="C277" s="126">
        <f t="shared" si="121"/>
        <v>710000</v>
      </c>
      <c r="D277" s="106">
        <f t="shared" si="125"/>
        <v>710000</v>
      </c>
    </row>
    <row r="278" spans="1:4" x14ac:dyDescent="0.4">
      <c r="A278" s="145"/>
      <c r="B278" s="147"/>
      <c r="C278" s="126">
        <f t="shared" si="121"/>
        <v>750000</v>
      </c>
      <c r="D278" s="106">
        <f t="shared" si="125"/>
        <v>750000</v>
      </c>
    </row>
    <row r="279" spans="1:4" x14ac:dyDescent="0.4">
      <c r="A279" s="145"/>
      <c r="B279" s="147">
        <f t="shared" ref="B279" si="126">C279</f>
        <v>800000</v>
      </c>
      <c r="C279" s="126">
        <f t="shared" si="121"/>
        <v>800000</v>
      </c>
      <c r="D279" s="106">
        <f t="shared" si="125"/>
        <v>800000</v>
      </c>
    </row>
    <row r="280" spans="1:4" x14ac:dyDescent="0.4">
      <c r="A280" s="145"/>
      <c r="B280" s="147"/>
      <c r="C280" s="126">
        <f t="shared" si="121"/>
        <v>850000</v>
      </c>
      <c r="D280" s="106">
        <f t="shared" si="125"/>
        <v>850000</v>
      </c>
    </row>
    <row r="281" spans="1:4" x14ac:dyDescent="0.4">
      <c r="A281" s="145"/>
      <c r="B281" s="147"/>
      <c r="C281" s="126">
        <f t="shared" si="121"/>
        <v>900000</v>
      </c>
      <c r="D281" s="106">
        <f t="shared" si="125"/>
        <v>900000</v>
      </c>
    </row>
    <row r="282" spans="1:4" x14ac:dyDescent="0.4">
      <c r="A282" s="146"/>
      <c r="B282" s="148"/>
      <c r="C282" s="109">
        <f t="shared" si="121"/>
        <v>950000</v>
      </c>
      <c r="D282" s="107">
        <f t="shared" si="125"/>
        <v>950000</v>
      </c>
    </row>
    <row r="283" spans="1:4" x14ac:dyDescent="0.4">
      <c r="A283" s="140">
        <f t="shared" ref="A283" si="127">B283</f>
        <v>1000000</v>
      </c>
      <c r="B283" s="147">
        <f t="shared" ref="B283" si="128">C283</f>
        <v>1000000</v>
      </c>
      <c r="C283" s="126">
        <f t="shared" si="121"/>
        <v>1000000</v>
      </c>
      <c r="D283" s="106">
        <f t="shared" si="125"/>
        <v>1000000</v>
      </c>
    </row>
    <row r="284" spans="1:4" x14ac:dyDescent="0.4">
      <c r="A284" s="145"/>
      <c r="B284" s="147"/>
      <c r="C284" s="126">
        <f t="shared" si="121"/>
        <v>1060000.0000000002</v>
      </c>
      <c r="D284" s="106">
        <f t="shared" si="125"/>
        <v>1060000.0000000002</v>
      </c>
    </row>
    <row r="285" spans="1:4" x14ac:dyDescent="0.4">
      <c r="A285" s="145"/>
      <c r="B285" s="147"/>
      <c r="C285" s="126">
        <f t="shared" si="121"/>
        <v>1120000.0000000002</v>
      </c>
      <c r="D285" s="106">
        <f t="shared" si="125"/>
        <v>1120000.0000000002</v>
      </c>
    </row>
    <row r="286" spans="1:4" x14ac:dyDescent="0.4">
      <c r="A286" s="145"/>
      <c r="B286" s="147"/>
      <c r="C286" s="126">
        <f t="shared" si="121"/>
        <v>1179999.9999999998</v>
      </c>
      <c r="D286" s="106">
        <f t="shared" si="125"/>
        <v>1179999.9999999998</v>
      </c>
    </row>
    <row r="287" spans="1:4" x14ac:dyDescent="0.4">
      <c r="A287" s="145"/>
      <c r="B287" s="147">
        <f t="shared" ref="B287" si="129">C287</f>
        <v>1250000</v>
      </c>
      <c r="C287" s="126">
        <f t="shared" si="121"/>
        <v>1250000</v>
      </c>
      <c r="D287" s="106">
        <f t="shared" si="125"/>
        <v>1250000</v>
      </c>
    </row>
    <row r="288" spans="1:4" x14ac:dyDescent="0.4">
      <c r="A288" s="145"/>
      <c r="B288" s="147"/>
      <c r="C288" s="126">
        <f t="shared" si="121"/>
        <v>1320000</v>
      </c>
      <c r="D288" s="106">
        <f t="shared" si="125"/>
        <v>1320000</v>
      </c>
    </row>
    <row r="289" spans="1:4" x14ac:dyDescent="0.4">
      <c r="A289" s="145"/>
      <c r="B289" s="147"/>
      <c r="C289" s="126">
        <f t="shared" si="121"/>
        <v>1400000</v>
      </c>
      <c r="D289" s="106">
        <f t="shared" si="125"/>
        <v>1400000</v>
      </c>
    </row>
    <row r="290" spans="1:4" x14ac:dyDescent="0.4">
      <c r="A290" s="146"/>
      <c r="B290" s="148"/>
      <c r="C290" s="109">
        <f t="shared" si="121"/>
        <v>1500000</v>
      </c>
      <c r="D290" s="107">
        <f t="shared" si="125"/>
        <v>1500000</v>
      </c>
    </row>
    <row r="291" spans="1:4" x14ac:dyDescent="0.4">
      <c r="A291" s="140">
        <f t="shared" ref="A291" si="130">B291</f>
        <v>1600000</v>
      </c>
      <c r="B291" s="147">
        <f t="shared" ref="B291" si="131">C291</f>
        <v>1600000</v>
      </c>
      <c r="C291" s="126">
        <f t="shared" ref="C291:C298" si="132">D291</f>
        <v>1600000</v>
      </c>
      <c r="D291" s="106">
        <f t="shared" si="125"/>
        <v>1600000</v>
      </c>
    </row>
    <row r="292" spans="1:4" x14ac:dyDescent="0.4">
      <c r="A292" s="145"/>
      <c r="B292" s="147"/>
      <c r="C292" s="126">
        <f t="shared" si="132"/>
        <v>1700000</v>
      </c>
      <c r="D292" s="106">
        <f t="shared" si="125"/>
        <v>1700000</v>
      </c>
    </row>
    <row r="293" spans="1:4" x14ac:dyDescent="0.4">
      <c r="A293" s="145"/>
      <c r="B293" s="147"/>
      <c r="C293" s="126">
        <f t="shared" si="132"/>
        <v>1800000</v>
      </c>
      <c r="D293" s="106">
        <f t="shared" si="125"/>
        <v>1800000</v>
      </c>
    </row>
    <row r="294" spans="1:4" x14ac:dyDescent="0.4">
      <c r="A294" s="145"/>
      <c r="B294" s="147"/>
      <c r="C294" s="126">
        <f t="shared" si="132"/>
        <v>1900000</v>
      </c>
      <c r="D294" s="106">
        <f t="shared" si="125"/>
        <v>1900000</v>
      </c>
    </row>
    <row r="295" spans="1:4" x14ac:dyDescent="0.4">
      <c r="A295" s="145"/>
      <c r="B295" s="147">
        <f t="shared" ref="B295" si="133">C295</f>
        <v>2000000</v>
      </c>
      <c r="C295" s="126">
        <f t="shared" si="132"/>
        <v>2000000</v>
      </c>
      <c r="D295" s="106">
        <f t="shared" si="125"/>
        <v>2000000</v>
      </c>
    </row>
    <row r="296" spans="1:4" x14ac:dyDescent="0.4">
      <c r="A296" s="145"/>
      <c r="B296" s="147"/>
      <c r="C296" s="126">
        <f t="shared" si="132"/>
        <v>2120000.0000000005</v>
      </c>
      <c r="D296" s="106">
        <f t="shared" si="125"/>
        <v>2120000.0000000005</v>
      </c>
    </row>
    <row r="297" spans="1:4" x14ac:dyDescent="0.4">
      <c r="A297" s="145"/>
      <c r="B297" s="147"/>
      <c r="C297" s="126">
        <f t="shared" si="132"/>
        <v>2240000.0000000005</v>
      </c>
      <c r="D297" s="106">
        <f t="shared" si="125"/>
        <v>2240000.0000000005</v>
      </c>
    </row>
    <row r="298" spans="1:4" x14ac:dyDescent="0.4">
      <c r="A298" s="146"/>
      <c r="B298" s="148"/>
      <c r="C298" s="109">
        <f t="shared" si="132"/>
        <v>2359999.9999999995</v>
      </c>
      <c r="D298" s="107">
        <f t="shared" si="125"/>
        <v>2359999.9999999995</v>
      </c>
    </row>
    <row r="299" spans="1:4" x14ac:dyDescent="0.4">
      <c r="A299" s="140">
        <f t="shared" ref="A299" si="134">B299</f>
        <v>2500000</v>
      </c>
      <c r="B299" s="147">
        <f t="shared" ref="B299" si="135">C299</f>
        <v>2500000</v>
      </c>
      <c r="C299" s="126">
        <f t="shared" ref="C299:C306" si="136">D299</f>
        <v>2500000</v>
      </c>
      <c r="D299" s="106">
        <f t="shared" si="125"/>
        <v>2500000</v>
      </c>
    </row>
    <row r="300" spans="1:4" x14ac:dyDescent="0.4">
      <c r="A300" s="145"/>
      <c r="B300" s="147"/>
      <c r="C300" s="126">
        <f t="shared" si="136"/>
        <v>2650000</v>
      </c>
      <c r="D300" s="106">
        <f t="shared" si="125"/>
        <v>2650000</v>
      </c>
    </row>
    <row r="301" spans="1:4" x14ac:dyDescent="0.4">
      <c r="A301" s="145"/>
      <c r="B301" s="147"/>
      <c r="C301" s="126">
        <f t="shared" si="136"/>
        <v>2800000</v>
      </c>
      <c r="D301" s="106">
        <f t="shared" si="125"/>
        <v>2800000</v>
      </c>
    </row>
    <row r="302" spans="1:4" x14ac:dyDescent="0.4">
      <c r="A302" s="145"/>
      <c r="B302" s="147"/>
      <c r="C302" s="126">
        <f t="shared" si="136"/>
        <v>3000000</v>
      </c>
      <c r="D302" s="106">
        <f t="shared" si="125"/>
        <v>3000000</v>
      </c>
    </row>
    <row r="303" spans="1:4" x14ac:dyDescent="0.4">
      <c r="A303" s="145"/>
      <c r="B303" s="147">
        <f t="shared" ref="B303" si="137">C303</f>
        <v>3150000</v>
      </c>
      <c r="C303" s="126">
        <f t="shared" si="136"/>
        <v>3150000</v>
      </c>
      <c r="D303" s="106">
        <f t="shared" si="125"/>
        <v>3150000</v>
      </c>
    </row>
    <row r="304" spans="1:4" x14ac:dyDescent="0.4">
      <c r="A304" s="145"/>
      <c r="B304" s="147"/>
      <c r="C304" s="126">
        <f t="shared" si="136"/>
        <v>3350000</v>
      </c>
      <c r="D304" s="106">
        <f t="shared" si="125"/>
        <v>3350000</v>
      </c>
    </row>
    <row r="305" spans="1:4" x14ac:dyDescent="0.4">
      <c r="A305" s="145"/>
      <c r="B305" s="147"/>
      <c r="C305" s="126">
        <f t="shared" si="136"/>
        <v>3550000</v>
      </c>
      <c r="D305" s="106">
        <f t="shared" si="125"/>
        <v>3550000</v>
      </c>
    </row>
    <row r="306" spans="1:4" x14ac:dyDescent="0.4">
      <c r="A306" s="146"/>
      <c r="B306" s="148"/>
      <c r="C306" s="109">
        <f t="shared" si="136"/>
        <v>3750000</v>
      </c>
      <c r="D306" s="107">
        <f t="shared" si="125"/>
        <v>3750000</v>
      </c>
    </row>
    <row r="307" spans="1:4" x14ac:dyDescent="0.4">
      <c r="A307" s="140">
        <f t="shared" ref="A307" si="138">B307</f>
        <v>4000000</v>
      </c>
      <c r="B307" s="147">
        <f t="shared" ref="B307" si="139">C307</f>
        <v>4000000</v>
      </c>
      <c r="C307" s="126">
        <f t="shared" ref="C307:C322" si="140">D307</f>
        <v>4000000</v>
      </c>
      <c r="D307" s="106">
        <f t="shared" si="125"/>
        <v>4000000</v>
      </c>
    </row>
    <row r="308" spans="1:4" x14ac:dyDescent="0.4">
      <c r="A308" s="145"/>
      <c r="B308" s="147"/>
      <c r="C308" s="126">
        <f t="shared" si="140"/>
        <v>4250000</v>
      </c>
      <c r="D308" s="106">
        <f t="shared" si="125"/>
        <v>4250000</v>
      </c>
    </row>
    <row r="309" spans="1:4" x14ac:dyDescent="0.4">
      <c r="A309" s="145"/>
      <c r="B309" s="147"/>
      <c r="C309" s="126">
        <f t="shared" si="140"/>
        <v>4500000</v>
      </c>
      <c r="D309" s="106">
        <f t="shared" si="125"/>
        <v>4500000</v>
      </c>
    </row>
    <row r="310" spans="1:4" x14ac:dyDescent="0.4">
      <c r="A310" s="145"/>
      <c r="B310" s="147"/>
      <c r="C310" s="126">
        <f t="shared" si="140"/>
        <v>4750000</v>
      </c>
      <c r="D310" s="106">
        <f t="shared" si="125"/>
        <v>4750000</v>
      </c>
    </row>
    <row r="311" spans="1:4" x14ac:dyDescent="0.4">
      <c r="A311" s="145"/>
      <c r="B311" s="147">
        <f t="shared" ref="B311" si="141">C311</f>
        <v>5000000</v>
      </c>
      <c r="C311" s="126">
        <f t="shared" si="140"/>
        <v>5000000</v>
      </c>
      <c r="D311" s="106">
        <f t="shared" si="125"/>
        <v>5000000</v>
      </c>
    </row>
    <row r="312" spans="1:4" x14ac:dyDescent="0.4">
      <c r="A312" s="145"/>
      <c r="B312" s="147"/>
      <c r="C312" s="126">
        <f t="shared" si="140"/>
        <v>5300000</v>
      </c>
      <c r="D312" s="106">
        <f t="shared" si="125"/>
        <v>5300000</v>
      </c>
    </row>
    <row r="313" spans="1:4" x14ac:dyDescent="0.4">
      <c r="A313" s="145"/>
      <c r="B313" s="147"/>
      <c r="C313" s="126">
        <f t="shared" si="140"/>
        <v>5600000</v>
      </c>
      <c r="D313" s="106">
        <f t="shared" si="125"/>
        <v>5600000</v>
      </c>
    </row>
    <row r="314" spans="1:4" x14ac:dyDescent="0.4">
      <c r="A314" s="146"/>
      <c r="B314" s="148"/>
      <c r="C314" s="109">
        <f t="shared" si="140"/>
        <v>6000000</v>
      </c>
      <c r="D314" s="107">
        <f t="shared" si="125"/>
        <v>6000000</v>
      </c>
    </row>
    <row r="315" spans="1:4" x14ac:dyDescent="0.4">
      <c r="A315" s="140">
        <f t="shared" ref="A315" si="142">B315</f>
        <v>6300000</v>
      </c>
      <c r="B315" s="147">
        <f t="shared" ref="B315" si="143">C315</f>
        <v>6300000</v>
      </c>
      <c r="C315" s="126">
        <f t="shared" si="140"/>
        <v>6300000</v>
      </c>
      <c r="D315" s="106">
        <f t="shared" si="125"/>
        <v>6300000</v>
      </c>
    </row>
    <row r="316" spans="1:4" x14ac:dyDescent="0.4">
      <c r="A316" s="145"/>
      <c r="B316" s="147"/>
      <c r="C316" s="126">
        <f t="shared" si="140"/>
        <v>6700000</v>
      </c>
      <c r="D316" s="106">
        <f t="shared" si="125"/>
        <v>6700000</v>
      </c>
    </row>
    <row r="317" spans="1:4" x14ac:dyDescent="0.4">
      <c r="A317" s="145"/>
      <c r="B317" s="147"/>
      <c r="C317" s="126">
        <f t="shared" si="140"/>
        <v>7100000</v>
      </c>
      <c r="D317" s="106">
        <f t="shared" si="125"/>
        <v>7100000</v>
      </c>
    </row>
    <row r="318" spans="1:4" x14ac:dyDescent="0.4">
      <c r="A318" s="145"/>
      <c r="B318" s="147"/>
      <c r="C318" s="126">
        <f t="shared" si="140"/>
        <v>7500000</v>
      </c>
      <c r="D318" s="106">
        <f t="shared" si="125"/>
        <v>7500000</v>
      </c>
    </row>
    <row r="319" spans="1:4" x14ac:dyDescent="0.4">
      <c r="A319" s="145"/>
      <c r="B319" s="147">
        <f t="shared" ref="B319" si="144">C319</f>
        <v>8000000</v>
      </c>
      <c r="C319" s="126">
        <f t="shared" si="140"/>
        <v>8000000</v>
      </c>
      <c r="D319" s="106">
        <f t="shared" si="125"/>
        <v>8000000</v>
      </c>
    </row>
    <row r="320" spans="1:4" x14ac:dyDescent="0.4">
      <c r="A320" s="145"/>
      <c r="B320" s="147"/>
      <c r="C320" s="126">
        <f t="shared" si="140"/>
        <v>8500000</v>
      </c>
      <c r="D320" s="106">
        <f t="shared" si="125"/>
        <v>8500000</v>
      </c>
    </row>
    <row r="321" spans="1:4" x14ac:dyDescent="0.4">
      <c r="A321" s="145"/>
      <c r="B321" s="147"/>
      <c r="C321" s="126">
        <f t="shared" si="140"/>
        <v>9000000</v>
      </c>
      <c r="D321" s="106">
        <f t="shared" si="125"/>
        <v>9000000</v>
      </c>
    </row>
    <row r="322" spans="1:4" ht="19.5" thickBot="1" x14ac:dyDescent="0.45">
      <c r="A322" s="149"/>
      <c r="B322" s="150"/>
      <c r="C322" s="110">
        <f t="shared" si="140"/>
        <v>9500000</v>
      </c>
      <c r="D322" s="127">
        <f t="shared" si="125"/>
        <v>9500000</v>
      </c>
    </row>
  </sheetData>
  <mergeCells count="233">
    <mergeCell ref="AA32:AB32"/>
    <mergeCell ref="AA31:AB31"/>
    <mergeCell ref="AA30:AB30"/>
    <mergeCell ref="AA29:AB29"/>
    <mergeCell ref="AA28:AB28"/>
    <mergeCell ref="AA33:AB33"/>
    <mergeCell ref="P1:P4"/>
    <mergeCell ref="Q1:Q4"/>
    <mergeCell ref="S1:S4"/>
    <mergeCell ref="T1:T4"/>
    <mergeCell ref="V1:V4"/>
    <mergeCell ref="W1:W4"/>
    <mergeCell ref="Y7:Z7"/>
    <mergeCell ref="Y8:Z8"/>
    <mergeCell ref="Y9:Z9"/>
    <mergeCell ref="Y10:Y11"/>
    <mergeCell ref="Y12:Y13"/>
    <mergeCell ref="Y16:Y17"/>
    <mergeCell ref="Y19:Y20"/>
    <mergeCell ref="U1:U4"/>
    <mergeCell ref="F1:G1"/>
    <mergeCell ref="J1:L1"/>
    <mergeCell ref="J3:L3"/>
    <mergeCell ref="F2:F4"/>
    <mergeCell ref="G2:G4"/>
    <mergeCell ref="H1:H4"/>
    <mergeCell ref="I1:I4"/>
    <mergeCell ref="N1:N4"/>
    <mergeCell ref="O1:O4"/>
    <mergeCell ref="A123:A130"/>
    <mergeCell ref="B123:B126"/>
    <mergeCell ref="B127:B130"/>
    <mergeCell ref="B131:B134"/>
    <mergeCell ref="B135:B138"/>
    <mergeCell ref="B167:B170"/>
    <mergeCell ref="B171:B174"/>
    <mergeCell ref="B175:B178"/>
    <mergeCell ref="A131:A138"/>
    <mergeCell ref="A139:A146"/>
    <mergeCell ref="A147:A154"/>
    <mergeCell ref="A155:A162"/>
    <mergeCell ref="A163:A170"/>
    <mergeCell ref="A171:A178"/>
    <mergeCell ref="B147:B150"/>
    <mergeCell ref="B151:B154"/>
    <mergeCell ref="B155:B158"/>
    <mergeCell ref="B159:B162"/>
    <mergeCell ref="B163:B166"/>
    <mergeCell ref="B139:B142"/>
    <mergeCell ref="B143:B146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A91:A98"/>
    <mergeCell ref="A99:A106"/>
    <mergeCell ref="A107:A114"/>
    <mergeCell ref="A115:A122"/>
    <mergeCell ref="C151:C152"/>
    <mergeCell ref="C153:C154"/>
    <mergeCell ref="C155:C156"/>
    <mergeCell ref="C157:C158"/>
    <mergeCell ref="C159:C160"/>
    <mergeCell ref="C161:C162"/>
    <mergeCell ref="C139:C140"/>
    <mergeCell ref="C141:C142"/>
    <mergeCell ref="C143:C144"/>
    <mergeCell ref="C145:C146"/>
    <mergeCell ref="C147:C148"/>
    <mergeCell ref="C149:C150"/>
    <mergeCell ref="C127:C128"/>
    <mergeCell ref="C129:C130"/>
    <mergeCell ref="C131:C132"/>
    <mergeCell ref="C133:C134"/>
    <mergeCell ref="C135:C136"/>
    <mergeCell ref="C137:C138"/>
    <mergeCell ref="C115:C116"/>
    <mergeCell ref="C117:C118"/>
    <mergeCell ref="C119:C120"/>
    <mergeCell ref="C121:C122"/>
    <mergeCell ref="C123:C124"/>
    <mergeCell ref="C125:C126"/>
    <mergeCell ref="C103:C104"/>
    <mergeCell ref="C105:C106"/>
    <mergeCell ref="C107:C108"/>
    <mergeCell ref="C109:C110"/>
    <mergeCell ref="C111:C112"/>
    <mergeCell ref="C113:C114"/>
    <mergeCell ref="C91:C92"/>
    <mergeCell ref="C93:C94"/>
    <mergeCell ref="C95:C96"/>
    <mergeCell ref="C97:C98"/>
    <mergeCell ref="C99:C100"/>
    <mergeCell ref="C101:C102"/>
    <mergeCell ref="A83:A90"/>
    <mergeCell ref="B83:B86"/>
    <mergeCell ref="C83:C84"/>
    <mergeCell ref="C85:C86"/>
    <mergeCell ref="C87:C88"/>
    <mergeCell ref="C89:C90"/>
    <mergeCell ref="A75:A82"/>
    <mergeCell ref="B75:B78"/>
    <mergeCell ref="C75:C76"/>
    <mergeCell ref="C77:C78"/>
    <mergeCell ref="B79:B82"/>
    <mergeCell ref="C79:C80"/>
    <mergeCell ref="C81:C82"/>
    <mergeCell ref="B87:B90"/>
    <mergeCell ref="C69:C70"/>
    <mergeCell ref="B71:B74"/>
    <mergeCell ref="C71:C72"/>
    <mergeCell ref="C73:C74"/>
    <mergeCell ref="A59:A66"/>
    <mergeCell ref="B59:B62"/>
    <mergeCell ref="C59:C60"/>
    <mergeCell ref="C61:C62"/>
    <mergeCell ref="B63:B66"/>
    <mergeCell ref="C63:C64"/>
    <mergeCell ref="C65:C66"/>
    <mergeCell ref="D1:D2"/>
    <mergeCell ref="A43:A50"/>
    <mergeCell ref="B43:B46"/>
    <mergeCell ref="C43:C44"/>
    <mergeCell ref="C45:C46"/>
    <mergeCell ref="B47:B50"/>
    <mergeCell ref="C47:C48"/>
    <mergeCell ref="A179:A186"/>
    <mergeCell ref="B179:B182"/>
    <mergeCell ref="B183:B186"/>
    <mergeCell ref="C49:C50"/>
    <mergeCell ref="A51:A58"/>
    <mergeCell ref="B51:B54"/>
    <mergeCell ref="C51:C52"/>
    <mergeCell ref="C53:C54"/>
    <mergeCell ref="B55:B58"/>
    <mergeCell ref="C55:C56"/>
    <mergeCell ref="C57:C58"/>
    <mergeCell ref="A1:A2"/>
    <mergeCell ref="B1:B2"/>
    <mergeCell ref="C1:C2"/>
    <mergeCell ref="A67:A74"/>
    <mergeCell ref="B67:B70"/>
    <mergeCell ref="C67:C68"/>
    <mergeCell ref="A187:A194"/>
    <mergeCell ref="B187:B190"/>
    <mergeCell ref="B191:B194"/>
    <mergeCell ref="A195:A202"/>
    <mergeCell ref="B195:B198"/>
    <mergeCell ref="B199:B202"/>
    <mergeCell ref="A203:A210"/>
    <mergeCell ref="B203:B206"/>
    <mergeCell ref="B207:B210"/>
    <mergeCell ref="A211:A218"/>
    <mergeCell ref="B211:B214"/>
    <mergeCell ref="B215:B218"/>
    <mergeCell ref="A219:A226"/>
    <mergeCell ref="B219:B222"/>
    <mergeCell ref="B223:B226"/>
    <mergeCell ref="A227:A234"/>
    <mergeCell ref="B227:B230"/>
    <mergeCell ref="B231:B234"/>
    <mergeCell ref="A235:A242"/>
    <mergeCell ref="B235:B238"/>
    <mergeCell ref="B239:B242"/>
    <mergeCell ref="A243:A250"/>
    <mergeCell ref="B243:B246"/>
    <mergeCell ref="A315:A322"/>
    <mergeCell ref="B315:B318"/>
    <mergeCell ref="B319:B322"/>
    <mergeCell ref="A283:A290"/>
    <mergeCell ref="B283:B286"/>
    <mergeCell ref="B287:B290"/>
    <mergeCell ref="A291:A298"/>
    <mergeCell ref="B291:B294"/>
    <mergeCell ref="B295:B298"/>
    <mergeCell ref="A299:A306"/>
    <mergeCell ref="B299:B302"/>
    <mergeCell ref="B303:B306"/>
    <mergeCell ref="B247:B250"/>
    <mergeCell ref="A251:A258"/>
    <mergeCell ref="B251:B254"/>
    <mergeCell ref="B255:B258"/>
    <mergeCell ref="A307:A314"/>
    <mergeCell ref="B307:B310"/>
    <mergeCell ref="B311:B314"/>
    <mergeCell ref="A259:A266"/>
    <mergeCell ref="B259:B262"/>
    <mergeCell ref="B263:B266"/>
    <mergeCell ref="A267:A274"/>
    <mergeCell ref="B267:B270"/>
    <mergeCell ref="B271:B274"/>
    <mergeCell ref="A275:A282"/>
    <mergeCell ref="B275:B278"/>
    <mergeCell ref="B279:B282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E8-9443-492D-AC89-80629056443A}">
  <dimension ref="A1:AL142"/>
  <sheetViews>
    <sheetView workbookViewId="0">
      <selection activeCell="J96" sqref="J96"/>
    </sheetView>
  </sheetViews>
  <sheetFormatPr defaultRowHeight="18.75" x14ac:dyDescent="0.4"/>
  <cols>
    <col min="1" max="1" width="10" customWidth="1"/>
    <col min="2" max="2" width="13.125" customWidth="1"/>
    <col min="3" max="3" width="12.25" customWidth="1"/>
    <col min="22" max="22" width="9" customWidth="1"/>
    <col min="28" max="28" width="9.5" bestFit="1" customWidth="1"/>
  </cols>
  <sheetData>
    <row r="1" spans="1:38" ht="19.5" thickBot="1" x14ac:dyDescent="0.45">
      <c r="A1">
        <v>2.7</v>
      </c>
      <c r="E1">
        <v>2.8</v>
      </c>
      <c r="T1">
        <v>6.8</v>
      </c>
    </row>
    <row r="2" spans="1:38" ht="20.25" thickTop="1" thickBot="1" x14ac:dyDescent="0.45">
      <c r="A2" s="167" t="s">
        <v>735</v>
      </c>
      <c r="B2" s="175" t="s">
        <v>736</v>
      </c>
      <c r="C2" s="169" t="s">
        <v>737</v>
      </c>
      <c r="E2" s="68" t="s">
        <v>309</v>
      </c>
      <c r="F2" s="69" t="s">
        <v>313</v>
      </c>
      <c r="G2" s="69" t="s">
        <v>738</v>
      </c>
      <c r="H2" s="69" t="s">
        <v>267</v>
      </c>
      <c r="I2" s="69" t="s">
        <v>4</v>
      </c>
      <c r="J2" s="69" t="s">
        <v>381</v>
      </c>
      <c r="K2" s="69" t="s">
        <v>63</v>
      </c>
      <c r="L2" s="69" t="s">
        <v>739</v>
      </c>
      <c r="M2" s="69" t="s">
        <v>740</v>
      </c>
      <c r="N2" s="69" t="s">
        <v>68</v>
      </c>
      <c r="O2" s="69" t="s">
        <v>244</v>
      </c>
      <c r="P2" s="70" t="s">
        <v>741</v>
      </c>
      <c r="Q2" s="70" t="s">
        <v>742</v>
      </c>
      <c r="R2" s="71" t="s">
        <v>743</v>
      </c>
      <c r="T2" s="213" t="s">
        <v>208</v>
      </c>
      <c r="U2" s="214"/>
      <c r="V2" s="215"/>
      <c r="W2" s="79">
        <v>0.6</v>
      </c>
      <c r="X2" s="80">
        <v>0.8</v>
      </c>
      <c r="Y2" s="80">
        <v>1</v>
      </c>
      <c r="Z2" s="80">
        <v>1.2</v>
      </c>
      <c r="AA2" s="80">
        <v>1.6</v>
      </c>
      <c r="AB2" s="80">
        <v>2</v>
      </c>
      <c r="AC2" s="80">
        <v>2.5</v>
      </c>
      <c r="AD2" s="80">
        <v>3.2</v>
      </c>
      <c r="AE2" s="80">
        <v>4</v>
      </c>
      <c r="AF2" s="80">
        <v>5</v>
      </c>
      <c r="AG2" s="80">
        <v>6.3</v>
      </c>
      <c r="AH2" s="80">
        <v>8</v>
      </c>
      <c r="AI2" s="80">
        <v>10</v>
      </c>
      <c r="AJ2" s="80">
        <v>13</v>
      </c>
      <c r="AK2" s="80">
        <v>16</v>
      </c>
      <c r="AL2" s="81">
        <v>20</v>
      </c>
    </row>
    <row r="3" spans="1:38" ht="20.25" thickTop="1" thickBot="1" x14ac:dyDescent="0.45">
      <c r="A3" s="173"/>
      <c r="B3" s="174"/>
      <c r="C3" s="195"/>
      <c r="E3" s="66">
        <v>6</v>
      </c>
      <c r="F3" s="56">
        <v>9</v>
      </c>
      <c r="G3" s="56">
        <v>32</v>
      </c>
      <c r="H3" s="56">
        <v>16</v>
      </c>
      <c r="I3" s="56">
        <v>45</v>
      </c>
      <c r="J3" s="56">
        <v>29</v>
      </c>
      <c r="K3" s="56">
        <v>32</v>
      </c>
      <c r="L3" s="56">
        <v>4.5</v>
      </c>
      <c r="M3" s="56">
        <v>3.5</v>
      </c>
      <c r="N3" s="56">
        <v>6</v>
      </c>
      <c r="O3" s="56">
        <v>1</v>
      </c>
      <c r="P3" s="56">
        <v>6.3</v>
      </c>
      <c r="Q3" s="56">
        <v>0.02</v>
      </c>
      <c r="R3" s="67">
        <f>ROUND(Q3*9.80665,3)</f>
        <v>0.19600000000000001</v>
      </c>
      <c r="T3" s="213" t="s">
        <v>17</v>
      </c>
      <c r="U3" s="214"/>
      <c r="V3" s="215"/>
      <c r="W3" s="79">
        <v>0.5</v>
      </c>
      <c r="X3" s="80">
        <v>0.7</v>
      </c>
      <c r="Y3" s="80">
        <v>0.9</v>
      </c>
      <c r="Z3" s="80">
        <v>1</v>
      </c>
      <c r="AA3" s="80">
        <v>1.4</v>
      </c>
      <c r="AB3" s="80">
        <v>1.8</v>
      </c>
      <c r="AC3" s="80">
        <v>2.2999999999999998</v>
      </c>
      <c r="AD3" s="80">
        <v>2.9</v>
      </c>
      <c r="AE3" s="80">
        <v>3.7</v>
      </c>
      <c r="AF3" s="80">
        <v>4.5999999999999996</v>
      </c>
      <c r="AG3" s="80">
        <v>5.9</v>
      </c>
      <c r="AH3" s="80">
        <v>7.5</v>
      </c>
      <c r="AI3" s="80">
        <v>9.5</v>
      </c>
      <c r="AJ3" s="80">
        <v>12.4</v>
      </c>
      <c r="AK3" s="80">
        <v>15.4</v>
      </c>
      <c r="AL3" s="81">
        <v>19.3</v>
      </c>
    </row>
    <row r="4" spans="1:38" ht="19.5" thickBot="1" x14ac:dyDescent="0.45">
      <c r="A4" s="60">
        <v>6.3</v>
      </c>
      <c r="B4" s="56">
        <v>21.1</v>
      </c>
      <c r="C4" s="57">
        <v>0.14299999999999999</v>
      </c>
      <c r="E4" s="61">
        <v>8</v>
      </c>
      <c r="F4" s="8">
        <v>10</v>
      </c>
      <c r="G4" s="8">
        <v>41</v>
      </c>
      <c r="H4" s="8">
        <v>22</v>
      </c>
      <c r="I4" s="8">
        <v>59</v>
      </c>
      <c r="J4" s="8">
        <v>40</v>
      </c>
      <c r="K4" s="8">
        <v>44</v>
      </c>
      <c r="L4" s="8">
        <v>5</v>
      </c>
      <c r="M4" s="8">
        <v>4.5</v>
      </c>
      <c r="N4" s="8">
        <v>7</v>
      </c>
      <c r="O4" s="8">
        <v>1</v>
      </c>
      <c r="P4" s="8">
        <v>8</v>
      </c>
      <c r="Q4" s="8">
        <v>0.04</v>
      </c>
      <c r="R4" s="62">
        <f t="shared" ref="R4:R28" si="0">ROUND(Q4*9.80665,3)</f>
        <v>0.39200000000000002</v>
      </c>
      <c r="T4" s="213" t="s">
        <v>511</v>
      </c>
      <c r="U4" s="214"/>
      <c r="V4" s="215"/>
      <c r="W4" s="79">
        <v>1</v>
      </c>
      <c r="X4" s="80">
        <v>1.4</v>
      </c>
      <c r="Y4" s="80">
        <v>1.8</v>
      </c>
      <c r="Z4" s="80">
        <v>2</v>
      </c>
      <c r="AA4" s="80">
        <v>2.8</v>
      </c>
      <c r="AB4" s="80">
        <v>3.6</v>
      </c>
      <c r="AC4" s="80">
        <v>4.5999999999999996</v>
      </c>
      <c r="AD4" s="80">
        <v>5.8</v>
      </c>
      <c r="AE4" s="80">
        <v>7.4</v>
      </c>
      <c r="AF4" s="80">
        <v>9.1999999999999993</v>
      </c>
      <c r="AG4" s="80">
        <v>11.8</v>
      </c>
      <c r="AH4" s="80">
        <v>15</v>
      </c>
      <c r="AI4" s="80">
        <v>19</v>
      </c>
      <c r="AJ4" s="80">
        <v>24.8</v>
      </c>
      <c r="AK4" s="80">
        <v>30.8</v>
      </c>
      <c r="AL4" s="81">
        <v>38.6</v>
      </c>
    </row>
    <row r="5" spans="1:38" ht="19.5" thickBot="1" x14ac:dyDescent="0.45">
      <c r="A5" s="51">
        <v>8</v>
      </c>
      <c r="B5" s="8">
        <v>34</v>
      </c>
      <c r="C5" s="50">
        <v>0.23</v>
      </c>
      <c r="E5" s="61">
        <v>9</v>
      </c>
      <c r="F5" s="8">
        <v>11</v>
      </c>
      <c r="G5" s="8">
        <v>45</v>
      </c>
      <c r="H5" s="8">
        <v>25</v>
      </c>
      <c r="I5" s="8">
        <v>65</v>
      </c>
      <c r="J5" s="8">
        <v>45</v>
      </c>
      <c r="K5" s="8">
        <v>50</v>
      </c>
      <c r="L5" s="8">
        <v>5.5</v>
      </c>
      <c r="M5" s="8">
        <v>5</v>
      </c>
      <c r="N5" s="8">
        <v>7</v>
      </c>
      <c r="O5" s="8">
        <v>1</v>
      </c>
      <c r="P5" s="8">
        <v>9</v>
      </c>
      <c r="Q5" s="8">
        <v>0.06</v>
      </c>
      <c r="R5" s="62">
        <f t="shared" si="0"/>
        <v>0.58799999999999997</v>
      </c>
      <c r="T5" s="213" t="s">
        <v>16</v>
      </c>
      <c r="U5" s="214"/>
      <c r="V5" s="215"/>
      <c r="W5" s="79">
        <v>2</v>
      </c>
      <c r="X5" s="80">
        <v>2.4</v>
      </c>
      <c r="Y5" s="80">
        <v>3</v>
      </c>
      <c r="Z5" s="80">
        <v>3</v>
      </c>
      <c r="AA5" s="80">
        <v>3.2</v>
      </c>
      <c r="AB5" s="80">
        <v>4</v>
      </c>
      <c r="AC5" s="80">
        <v>5</v>
      </c>
      <c r="AD5" s="80">
        <v>6.4</v>
      </c>
      <c r="AE5" s="80">
        <v>8</v>
      </c>
      <c r="AF5" s="80">
        <v>10</v>
      </c>
      <c r="AG5" s="80">
        <v>12.6</v>
      </c>
      <c r="AH5" s="80">
        <v>16</v>
      </c>
      <c r="AI5" s="80">
        <v>20</v>
      </c>
      <c r="AJ5" s="80">
        <v>26</v>
      </c>
      <c r="AK5" s="80">
        <v>32</v>
      </c>
      <c r="AL5" s="81">
        <v>40</v>
      </c>
    </row>
    <row r="6" spans="1:38" ht="19.5" thickBot="1" x14ac:dyDescent="0.45">
      <c r="A6" s="51">
        <v>9</v>
      </c>
      <c r="B6" s="8">
        <v>43</v>
      </c>
      <c r="C6" s="50">
        <v>0.29099999999999998</v>
      </c>
      <c r="E6" s="61">
        <v>10</v>
      </c>
      <c r="F6" s="8">
        <v>13</v>
      </c>
      <c r="G6" s="8">
        <v>50</v>
      </c>
      <c r="H6" s="8">
        <v>28</v>
      </c>
      <c r="I6" s="8">
        <v>72</v>
      </c>
      <c r="J6" s="8">
        <v>51</v>
      </c>
      <c r="K6" s="8">
        <v>56</v>
      </c>
      <c r="L6" s="8">
        <v>6.5</v>
      </c>
      <c r="M6" s="8">
        <v>5.5</v>
      </c>
      <c r="N6" s="8">
        <v>7</v>
      </c>
      <c r="O6" s="8">
        <v>1.5</v>
      </c>
      <c r="P6" s="8">
        <v>10</v>
      </c>
      <c r="Q6" s="8">
        <v>7.0000000000000007E-2</v>
      </c>
      <c r="R6" s="62">
        <f t="shared" si="0"/>
        <v>0.68600000000000005</v>
      </c>
      <c r="T6" s="213" t="s">
        <v>205</v>
      </c>
      <c r="U6" s="214"/>
      <c r="V6" s="215"/>
      <c r="W6" s="79">
        <v>1.6</v>
      </c>
      <c r="X6" s="80">
        <v>1.6</v>
      </c>
      <c r="Y6" s="80">
        <v>1.6</v>
      </c>
      <c r="Z6" s="80">
        <v>2.5</v>
      </c>
      <c r="AA6" s="80">
        <v>2.5</v>
      </c>
      <c r="AB6" s="80">
        <v>2.5</v>
      </c>
      <c r="AC6" s="80">
        <v>2.5</v>
      </c>
      <c r="AD6" s="80">
        <v>3.2</v>
      </c>
      <c r="AE6" s="80">
        <v>4</v>
      </c>
      <c r="AF6" s="80">
        <v>4</v>
      </c>
      <c r="AG6" s="80">
        <v>4</v>
      </c>
      <c r="AH6" s="80">
        <v>4</v>
      </c>
      <c r="AI6" s="80">
        <v>6.3</v>
      </c>
      <c r="AJ6" s="80">
        <v>6.3</v>
      </c>
      <c r="AK6" s="80">
        <v>6.3</v>
      </c>
      <c r="AL6" s="81">
        <v>6.3</v>
      </c>
    </row>
    <row r="7" spans="1:38" x14ac:dyDescent="0.4">
      <c r="A7" s="51">
        <v>10</v>
      </c>
      <c r="B7" s="8">
        <v>53.1</v>
      </c>
      <c r="C7" s="50">
        <v>0.35899999999999999</v>
      </c>
      <c r="E7" s="61">
        <v>12</v>
      </c>
      <c r="F7" s="8">
        <v>16</v>
      </c>
      <c r="G7" s="8">
        <v>60</v>
      </c>
      <c r="H7" s="8">
        <v>34</v>
      </c>
      <c r="I7" s="8">
        <v>86</v>
      </c>
      <c r="J7" s="8">
        <v>62</v>
      </c>
      <c r="K7" s="8">
        <v>68</v>
      </c>
      <c r="L7" s="8">
        <v>8</v>
      </c>
      <c r="M7" s="8">
        <v>6.5</v>
      </c>
      <c r="N7" s="8">
        <v>8</v>
      </c>
      <c r="O7" s="8">
        <v>1.5</v>
      </c>
      <c r="P7" s="8">
        <v>12.5</v>
      </c>
      <c r="Q7" s="8">
        <v>0.08</v>
      </c>
      <c r="R7" s="62">
        <f t="shared" si="0"/>
        <v>0.78500000000000003</v>
      </c>
      <c r="T7" s="216" t="s">
        <v>744</v>
      </c>
      <c r="U7" s="168" t="s">
        <v>745</v>
      </c>
      <c r="V7" s="118" t="s">
        <v>746</v>
      </c>
      <c r="W7" s="117" t="s">
        <v>734</v>
      </c>
      <c r="X7" s="82">
        <f>W8</f>
        <v>2.5</v>
      </c>
      <c r="Y7" s="82">
        <f t="shared" ref="Y7:AL7" si="1">X8</f>
        <v>3.5</v>
      </c>
      <c r="Z7" s="82">
        <f t="shared" si="1"/>
        <v>4.5</v>
      </c>
      <c r="AA7" s="82">
        <f t="shared" si="1"/>
        <v>5.5</v>
      </c>
      <c r="AB7" s="82">
        <f t="shared" si="1"/>
        <v>7</v>
      </c>
      <c r="AC7" s="82">
        <f t="shared" si="1"/>
        <v>9</v>
      </c>
      <c r="AD7" s="82">
        <f t="shared" si="1"/>
        <v>11</v>
      </c>
      <c r="AE7" s="82">
        <f t="shared" si="1"/>
        <v>14</v>
      </c>
      <c r="AF7" s="82">
        <f t="shared" si="1"/>
        <v>20</v>
      </c>
      <c r="AG7" s="82">
        <f t="shared" si="1"/>
        <v>27</v>
      </c>
      <c r="AH7" s="82">
        <f t="shared" si="1"/>
        <v>39</v>
      </c>
      <c r="AI7" s="82">
        <f t="shared" si="1"/>
        <v>56</v>
      </c>
      <c r="AJ7" s="82">
        <f t="shared" si="1"/>
        <v>80</v>
      </c>
      <c r="AK7" s="82">
        <f t="shared" si="1"/>
        <v>120</v>
      </c>
      <c r="AL7" s="83">
        <f t="shared" si="1"/>
        <v>170</v>
      </c>
    </row>
    <row r="8" spans="1:38" ht="19.5" thickBot="1" x14ac:dyDescent="0.45">
      <c r="A8" s="51">
        <v>11.2</v>
      </c>
      <c r="B8" s="8">
        <v>66.599999999999994</v>
      </c>
      <c r="C8" s="50">
        <v>0.45100000000000001</v>
      </c>
      <c r="E8" s="61">
        <v>14</v>
      </c>
      <c r="F8" s="8">
        <v>17</v>
      </c>
      <c r="G8" s="8">
        <v>66</v>
      </c>
      <c r="H8" s="8">
        <v>38</v>
      </c>
      <c r="I8" s="8">
        <v>96</v>
      </c>
      <c r="J8" s="8">
        <v>69</v>
      </c>
      <c r="K8" s="8">
        <v>76</v>
      </c>
      <c r="L8" s="8">
        <v>8.5</v>
      </c>
      <c r="M8" s="8">
        <v>7.5</v>
      </c>
      <c r="N8" s="8">
        <v>9</v>
      </c>
      <c r="O8" s="8">
        <v>1.5</v>
      </c>
      <c r="P8" s="8">
        <v>14</v>
      </c>
      <c r="Q8" s="8">
        <v>0.09</v>
      </c>
      <c r="R8" s="62">
        <f t="shared" si="0"/>
        <v>0.88300000000000001</v>
      </c>
      <c r="T8" s="217"/>
      <c r="U8" s="174"/>
      <c r="V8" s="128" t="s">
        <v>747</v>
      </c>
      <c r="W8" s="52">
        <v>2.5</v>
      </c>
      <c r="X8" s="53">
        <v>3.5</v>
      </c>
      <c r="Y8" s="53">
        <v>4.5</v>
      </c>
      <c r="Z8" s="53">
        <v>5.5</v>
      </c>
      <c r="AA8" s="53">
        <v>7</v>
      </c>
      <c r="AB8" s="53">
        <v>9</v>
      </c>
      <c r="AC8" s="53">
        <v>11</v>
      </c>
      <c r="AD8" s="53">
        <v>14</v>
      </c>
      <c r="AE8" s="53">
        <v>20</v>
      </c>
      <c r="AF8" s="53">
        <v>27</v>
      </c>
      <c r="AG8" s="53">
        <v>39</v>
      </c>
      <c r="AH8" s="53">
        <v>56</v>
      </c>
      <c r="AI8" s="53">
        <v>80</v>
      </c>
      <c r="AJ8" s="53">
        <v>120</v>
      </c>
      <c r="AK8" s="53">
        <v>170</v>
      </c>
      <c r="AL8" s="128" t="s">
        <v>734</v>
      </c>
    </row>
    <row r="9" spans="1:38" x14ac:dyDescent="0.4">
      <c r="A9" s="51">
        <v>12</v>
      </c>
      <c r="B9" s="8">
        <v>76.5</v>
      </c>
      <c r="C9" s="50">
        <v>0.51700000000000002</v>
      </c>
      <c r="E9" s="61">
        <v>16</v>
      </c>
      <c r="F9" s="8">
        <v>20</v>
      </c>
      <c r="G9" s="8">
        <v>76</v>
      </c>
      <c r="H9" s="8">
        <v>44</v>
      </c>
      <c r="I9" s="8">
        <v>110</v>
      </c>
      <c r="J9" s="8">
        <v>80</v>
      </c>
      <c r="K9" s="8">
        <v>88</v>
      </c>
      <c r="L9" s="8">
        <v>10</v>
      </c>
      <c r="M9" s="8">
        <v>9</v>
      </c>
      <c r="N9" s="8">
        <v>10</v>
      </c>
      <c r="O9" s="8">
        <v>2</v>
      </c>
      <c r="P9" s="8">
        <v>16</v>
      </c>
      <c r="Q9" s="8">
        <v>0.15</v>
      </c>
      <c r="R9" s="62">
        <f t="shared" si="0"/>
        <v>1.4710000000000001</v>
      </c>
      <c r="T9" s="217"/>
      <c r="U9" s="219" t="s">
        <v>748</v>
      </c>
      <c r="V9" s="132" t="str">
        <f>V7</f>
        <v>をこえ</v>
      </c>
      <c r="W9" s="117" t="s">
        <v>734</v>
      </c>
      <c r="X9" s="82">
        <f t="shared" ref="X9:AL9" si="2">W10</f>
        <v>2</v>
      </c>
      <c r="Y9" s="82">
        <f t="shared" si="2"/>
        <v>3</v>
      </c>
      <c r="Z9" s="82">
        <f t="shared" si="2"/>
        <v>4</v>
      </c>
      <c r="AA9" s="82">
        <f t="shared" si="2"/>
        <v>5</v>
      </c>
      <c r="AB9" s="82">
        <f t="shared" si="2"/>
        <v>6</v>
      </c>
      <c r="AC9" s="82">
        <f t="shared" si="2"/>
        <v>8</v>
      </c>
      <c r="AD9" s="82">
        <f t="shared" si="2"/>
        <v>9</v>
      </c>
      <c r="AE9" s="82">
        <f t="shared" si="2"/>
        <v>12</v>
      </c>
      <c r="AF9" s="82">
        <f t="shared" si="2"/>
        <v>17</v>
      </c>
      <c r="AG9" s="82">
        <f t="shared" si="2"/>
        <v>23</v>
      </c>
      <c r="AH9" s="82">
        <f t="shared" si="2"/>
        <v>29</v>
      </c>
      <c r="AI9" s="82">
        <f t="shared" si="2"/>
        <v>44</v>
      </c>
      <c r="AJ9" s="82">
        <f t="shared" si="2"/>
        <v>69</v>
      </c>
      <c r="AK9" s="82">
        <f t="shared" si="2"/>
        <v>110</v>
      </c>
      <c r="AL9" s="83">
        <f t="shared" si="2"/>
        <v>160</v>
      </c>
    </row>
    <row r="10" spans="1:38" ht="19.5" thickBot="1" x14ac:dyDescent="0.45">
      <c r="A10" s="51">
        <v>12.5</v>
      </c>
      <c r="B10" s="8">
        <v>83</v>
      </c>
      <c r="C10" s="50">
        <v>0.56100000000000005</v>
      </c>
      <c r="E10" s="61">
        <v>18</v>
      </c>
      <c r="F10" s="8">
        <v>22</v>
      </c>
      <c r="G10" s="8">
        <v>80</v>
      </c>
      <c r="H10" s="8">
        <v>48</v>
      </c>
      <c r="I10" s="8">
        <v>118</v>
      </c>
      <c r="J10" s="8">
        <v>87</v>
      </c>
      <c r="K10" s="8">
        <v>96</v>
      </c>
      <c r="L10" s="8">
        <v>11</v>
      </c>
      <c r="M10" s="8">
        <v>10</v>
      </c>
      <c r="N10" s="8">
        <v>10</v>
      </c>
      <c r="O10" s="8">
        <v>2</v>
      </c>
      <c r="P10" s="8">
        <v>18</v>
      </c>
      <c r="Q10" s="8">
        <v>0.18</v>
      </c>
      <c r="R10" s="62">
        <f t="shared" si="0"/>
        <v>1.7649999999999999</v>
      </c>
      <c r="T10" s="218"/>
      <c r="U10" s="220"/>
      <c r="V10" s="78" t="str">
        <f>V8</f>
        <v>以下</v>
      </c>
      <c r="W10" s="52">
        <v>2</v>
      </c>
      <c r="X10" s="53">
        <v>3</v>
      </c>
      <c r="Y10" s="53">
        <v>4</v>
      </c>
      <c r="Z10" s="53">
        <v>5</v>
      </c>
      <c r="AA10" s="53">
        <v>6</v>
      </c>
      <c r="AB10" s="53">
        <v>8</v>
      </c>
      <c r="AC10" s="53">
        <v>9</v>
      </c>
      <c r="AD10" s="53">
        <v>12</v>
      </c>
      <c r="AE10" s="53">
        <v>17</v>
      </c>
      <c r="AF10" s="53">
        <v>23</v>
      </c>
      <c r="AG10" s="53">
        <v>29</v>
      </c>
      <c r="AH10" s="53">
        <v>44</v>
      </c>
      <c r="AI10" s="53">
        <v>69</v>
      </c>
      <c r="AJ10" s="53">
        <v>110</v>
      </c>
      <c r="AK10" s="53">
        <v>160</v>
      </c>
      <c r="AL10" s="128" t="s">
        <v>734</v>
      </c>
    </row>
    <row r="11" spans="1:38" ht="19.5" thickBot="1" x14ac:dyDescent="0.45">
      <c r="A11" s="51">
        <v>14</v>
      </c>
      <c r="B11" s="8">
        <v>104</v>
      </c>
      <c r="C11" s="50">
        <v>0.70399999999999996</v>
      </c>
      <c r="E11" s="61">
        <v>20</v>
      </c>
      <c r="F11" s="8">
        <v>24</v>
      </c>
      <c r="G11" s="8">
        <v>91</v>
      </c>
      <c r="H11" s="8">
        <v>54</v>
      </c>
      <c r="I11" s="8">
        <v>134</v>
      </c>
      <c r="J11" s="8">
        <v>98</v>
      </c>
      <c r="K11" s="8">
        <v>108</v>
      </c>
      <c r="L11" s="8">
        <v>12</v>
      </c>
      <c r="M11" s="8">
        <v>11</v>
      </c>
      <c r="N11" s="8">
        <v>12</v>
      </c>
      <c r="O11" s="8">
        <v>2</v>
      </c>
      <c r="P11" s="8">
        <v>20</v>
      </c>
      <c r="Q11" s="8">
        <v>0.3</v>
      </c>
      <c r="R11" s="62">
        <f t="shared" si="0"/>
        <v>2.9420000000000002</v>
      </c>
      <c r="T11" s="213" t="s">
        <v>749</v>
      </c>
      <c r="U11" s="214"/>
      <c r="V11" s="215"/>
      <c r="W11" s="79">
        <v>0.6</v>
      </c>
      <c r="X11" s="80">
        <v>0.8</v>
      </c>
      <c r="Y11" s="80">
        <v>1</v>
      </c>
      <c r="Z11" s="80">
        <v>1.2</v>
      </c>
      <c r="AA11" s="80">
        <v>1.6</v>
      </c>
      <c r="AB11" s="80">
        <v>2</v>
      </c>
      <c r="AC11" s="80">
        <v>2.5</v>
      </c>
      <c r="AD11" s="80">
        <v>3.2</v>
      </c>
      <c r="AE11" s="80">
        <v>4</v>
      </c>
      <c r="AF11" s="80">
        <v>5</v>
      </c>
      <c r="AG11" s="80">
        <v>6.3</v>
      </c>
      <c r="AH11" s="80">
        <v>8</v>
      </c>
      <c r="AI11" s="80">
        <v>10</v>
      </c>
      <c r="AJ11" s="80">
        <v>13</v>
      </c>
      <c r="AK11" s="80">
        <v>16</v>
      </c>
      <c r="AL11" s="81">
        <v>20</v>
      </c>
    </row>
    <row r="12" spans="1:38" x14ac:dyDescent="0.4">
      <c r="A12" s="51">
        <v>16</v>
      </c>
      <c r="B12" s="8">
        <v>136</v>
      </c>
      <c r="C12" s="50">
        <v>0.92</v>
      </c>
      <c r="E12" s="61">
        <v>22</v>
      </c>
      <c r="F12" s="8">
        <v>28</v>
      </c>
      <c r="G12" s="8">
        <v>102</v>
      </c>
      <c r="H12" s="8">
        <v>60</v>
      </c>
      <c r="I12" s="8">
        <v>149</v>
      </c>
      <c r="J12" s="8">
        <v>110</v>
      </c>
      <c r="K12" s="8">
        <v>120</v>
      </c>
      <c r="L12" s="8">
        <v>14</v>
      </c>
      <c r="M12" s="8">
        <v>12</v>
      </c>
      <c r="N12" s="8">
        <v>13</v>
      </c>
      <c r="O12" s="8">
        <v>2.5</v>
      </c>
      <c r="P12" s="8">
        <v>22.4</v>
      </c>
      <c r="Q12" s="8">
        <v>0.45</v>
      </c>
      <c r="R12" s="62">
        <f t="shared" si="0"/>
        <v>4.4130000000000003</v>
      </c>
    </row>
    <row r="13" spans="1:38" ht="19.5" thickBot="1" x14ac:dyDescent="0.45">
      <c r="A13" s="51">
        <v>18</v>
      </c>
      <c r="B13" s="8">
        <v>172</v>
      </c>
      <c r="C13" s="50">
        <v>1.1599999999999999</v>
      </c>
      <c r="E13" s="61">
        <v>26</v>
      </c>
      <c r="F13" s="8">
        <v>31</v>
      </c>
      <c r="G13" s="8">
        <v>118</v>
      </c>
      <c r="H13" s="8">
        <v>70</v>
      </c>
      <c r="I13" s="8">
        <v>172</v>
      </c>
      <c r="J13" s="8">
        <v>128</v>
      </c>
      <c r="K13" s="8">
        <v>140</v>
      </c>
      <c r="L13" s="8">
        <v>15.5</v>
      </c>
      <c r="M13" s="8">
        <v>14</v>
      </c>
      <c r="N13" s="8">
        <v>14</v>
      </c>
      <c r="O13" s="8">
        <v>2.5</v>
      </c>
      <c r="P13" s="8">
        <v>25</v>
      </c>
      <c r="Q13" s="8">
        <v>0.73</v>
      </c>
      <c r="R13" s="62">
        <f t="shared" si="0"/>
        <v>7.1589999999999998</v>
      </c>
      <c r="T13">
        <v>7.1</v>
      </c>
      <c r="AC13">
        <v>8.6</v>
      </c>
    </row>
    <row r="14" spans="1:38" x14ac:dyDescent="0.4">
      <c r="A14" s="51">
        <v>20</v>
      </c>
      <c r="B14" s="8">
        <v>212</v>
      </c>
      <c r="C14" s="50">
        <v>1.44</v>
      </c>
      <c r="E14" s="61">
        <v>28</v>
      </c>
      <c r="F14" s="8">
        <v>33</v>
      </c>
      <c r="G14" s="8">
        <v>129</v>
      </c>
      <c r="H14" s="8">
        <v>75</v>
      </c>
      <c r="I14" s="8">
        <v>186</v>
      </c>
      <c r="J14" s="8">
        <v>137</v>
      </c>
      <c r="K14" s="8">
        <v>150</v>
      </c>
      <c r="L14" s="8">
        <v>16.5</v>
      </c>
      <c r="M14" s="8">
        <v>15</v>
      </c>
      <c r="N14" s="8">
        <v>16</v>
      </c>
      <c r="O14" s="8">
        <v>2.5</v>
      </c>
      <c r="P14" s="8">
        <v>28</v>
      </c>
      <c r="Q14" s="8">
        <v>0.86</v>
      </c>
      <c r="R14" s="62">
        <f t="shared" si="0"/>
        <v>8.4339999999999993</v>
      </c>
      <c r="T14" s="167" t="s">
        <v>750</v>
      </c>
      <c r="U14" s="169"/>
      <c r="V14" s="84">
        <v>250</v>
      </c>
      <c r="W14" s="82">
        <v>300</v>
      </c>
      <c r="X14" s="82">
        <v>350</v>
      </c>
      <c r="Y14" s="82">
        <v>400</v>
      </c>
      <c r="Z14" s="82">
        <v>450</v>
      </c>
      <c r="AA14" s="83">
        <v>500</v>
      </c>
      <c r="AC14" s="196"/>
      <c r="AD14" s="197"/>
      <c r="AE14" s="203" t="s">
        <v>751</v>
      </c>
      <c r="AF14" s="168"/>
      <c r="AG14" s="118" t="s">
        <v>398</v>
      </c>
    </row>
    <row r="15" spans="1:38" ht="19.5" thickBot="1" x14ac:dyDescent="0.45">
      <c r="A15" s="51">
        <v>22.4</v>
      </c>
      <c r="B15" s="8">
        <v>266</v>
      </c>
      <c r="C15" s="50">
        <v>1.8</v>
      </c>
      <c r="E15" s="61">
        <v>30</v>
      </c>
      <c r="F15" s="8">
        <v>35</v>
      </c>
      <c r="G15" s="8">
        <v>135</v>
      </c>
      <c r="H15" s="8">
        <v>80</v>
      </c>
      <c r="I15" s="8">
        <v>198</v>
      </c>
      <c r="J15" s="8">
        <v>146</v>
      </c>
      <c r="K15" s="8">
        <v>160</v>
      </c>
      <c r="L15" s="8">
        <v>17.5</v>
      </c>
      <c r="M15" s="8">
        <v>16.5</v>
      </c>
      <c r="N15" s="8">
        <v>17</v>
      </c>
      <c r="O15" s="8">
        <v>2.5</v>
      </c>
      <c r="P15" s="8">
        <v>30</v>
      </c>
      <c r="Q15" s="8">
        <v>1</v>
      </c>
      <c r="R15" s="62">
        <f t="shared" si="0"/>
        <v>9.8070000000000004</v>
      </c>
      <c r="T15" s="172" t="s">
        <v>752</v>
      </c>
      <c r="U15" s="171"/>
      <c r="V15" s="85">
        <v>50</v>
      </c>
      <c r="W15" s="8">
        <v>60</v>
      </c>
      <c r="X15" s="8">
        <v>70</v>
      </c>
      <c r="Y15" s="8">
        <v>80</v>
      </c>
      <c r="Z15" s="8">
        <v>100</v>
      </c>
      <c r="AA15" s="50">
        <v>120</v>
      </c>
      <c r="AC15" s="198"/>
      <c r="AD15" s="199"/>
      <c r="AE15" s="92" t="s">
        <v>389</v>
      </c>
      <c r="AF15" s="123" t="s">
        <v>397</v>
      </c>
      <c r="AG15" s="93" t="s">
        <v>662</v>
      </c>
    </row>
    <row r="16" spans="1:38" x14ac:dyDescent="0.4">
      <c r="A16" s="51">
        <v>25</v>
      </c>
      <c r="B16" s="8">
        <v>332</v>
      </c>
      <c r="C16" s="50">
        <v>2.25</v>
      </c>
      <c r="E16" s="61">
        <v>32</v>
      </c>
      <c r="F16" s="8">
        <v>38</v>
      </c>
      <c r="G16" s="8">
        <v>144</v>
      </c>
      <c r="H16" s="8">
        <v>85</v>
      </c>
      <c r="I16" s="8">
        <v>210</v>
      </c>
      <c r="J16" s="8">
        <v>155</v>
      </c>
      <c r="K16" s="8">
        <v>170</v>
      </c>
      <c r="L16" s="8">
        <v>19</v>
      </c>
      <c r="M16" s="8">
        <v>17.5</v>
      </c>
      <c r="N16" s="8">
        <v>18</v>
      </c>
      <c r="O16" s="8">
        <v>3</v>
      </c>
      <c r="P16" s="8">
        <v>31.5</v>
      </c>
      <c r="Q16" s="8">
        <v>1.19</v>
      </c>
      <c r="R16" s="62">
        <f t="shared" si="0"/>
        <v>11.67</v>
      </c>
      <c r="T16" s="172" t="s">
        <v>753</v>
      </c>
      <c r="U16" s="171"/>
      <c r="V16" s="85">
        <f>V15</f>
        <v>50</v>
      </c>
      <c r="W16" s="8">
        <f t="shared" ref="W16:AA16" si="3">W15</f>
        <v>60</v>
      </c>
      <c r="X16" s="8">
        <f t="shared" si="3"/>
        <v>70</v>
      </c>
      <c r="Y16" s="8">
        <f t="shared" si="3"/>
        <v>80</v>
      </c>
      <c r="Z16" s="8">
        <f t="shared" si="3"/>
        <v>100</v>
      </c>
      <c r="AA16" s="50">
        <f t="shared" si="3"/>
        <v>120</v>
      </c>
      <c r="AC16" s="60">
        <v>15</v>
      </c>
      <c r="AD16" s="57" t="s">
        <v>746</v>
      </c>
      <c r="AE16" s="91" t="s">
        <v>754</v>
      </c>
      <c r="AF16" s="204">
        <v>12.5</v>
      </c>
      <c r="AG16" s="205" t="s">
        <v>694</v>
      </c>
    </row>
    <row r="17" spans="1:36" x14ac:dyDescent="0.4">
      <c r="A17" s="51">
        <v>28</v>
      </c>
      <c r="B17" s="8">
        <v>416</v>
      </c>
      <c r="C17" s="50">
        <v>2.82</v>
      </c>
      <c r="E17" s="61">
        <v>34</v>
      </c>
      <c r="F17" s="8">
        <v>40</v>
      </c>
      <c r="G17" s="8">
        <v>155</v>
      </c>
      <c r="H17" s="8">
        <v>90</v>
      </c>
      <c r="I17" s="8">
        <v>224</v>
      </c>
      <c r="J17" s="8">
        <v>164</v>
      </c>
      <c r="K17" s="8">
        <v>180</v>
      </c>
      <c r="L17" s="8">
        <v>20</v>
      </c>
      <c r="M17" s="8">
        <v>18.5</v>
      </c>
      <c r="N17" s="8">
        <v>20</v>
      </c>
      <c r="O17" s="8">
        <v>3</v>
      </c>
      <c r="P17" s="8">
        <v>33.5</v>
      </c>
      <c r="Q17" s="8">
        <v>1.34</v>
      </c>
      <c r="R17" s="62">
        <f t="shared" si="0"/>
        <v>13.141</v>
      </c>
      <c r="T17" s="172" t="s">
        <v>755</v>
      </c>
      <c r="U17" s="171"/>
      <c r="V17" s="85">
        <v>2</v>
      </c>
      <c r="W17" s="8">
        <v>3</v>
      </c>
      <c r="X17" s="8">
        <v>3</v>
      </c>
      <c r="Y17" s="8">
        <v>4</v>
      </c>
      <c r="Z17" s="8">
        <v>4</v>
      </c>
      <c r="AA17" s="50">
        <v>5</v>
      </c>
      <c r="AC17" s="51">
        <v>22</v>
      </c>
      <c r="AD17" s="50" t="s">
        <v>756</v>
      </c>
      <c r="AE17" s="85" t="s">
        <v>505</v>
      </c>
      <c r="AF17" s="170"/>
      <c r="AG17" s="171"/>
    </row>
    <row r="18" spans="1:36" x14ac:dyDescent="0.4">
      <c r="A18" s="51">
        <v>30</v>
      </c>
      <c r="B18" s="8">
        <v>478</v>
      </c>
      <c r="C18" s="50">
        <v>3.23</v>
      </c>
      <c r="E18" s="61">
        <v>36</v>
      </c>
      <c r="F18" s="8">
        <v>42</v>
      </c>
      <c r="G18" s="8">
        <v>160</v>
      </c>
      <c r="H18" s="8">
        <v>95</v>
      </c>
      <c r="I18" s="8">
        <v>235</v>
      </c>
      <c r="J18" s="8">
        <v>174</v>
      </c>
      <c r="K18" s="8">
        <v>190</v>
      </c>
      <c r="L18" s="8">
        <v>21</v>
      </c>
      <c r="M18" s="8">
        <v>19.5</v>
      </c>
      <c r="N18" s="8">
        <v>20</v>
      </c>
      <c r="O18" s="8">
        <v>3</v>
      </c>
      <c r="P18" s="8">
        <v>35.5</v>
      </c>
      <c r="Q18" s="8">
        <v>1.56</v>
      </c>
      <c r="R18" s="62">
        <f t="shared" si="0"/>
        <v>15.298</v>
      </c>
      <c r="T18" s="172" t="s">
        <v>757</v>
      </c>
      <c r="U18" s="171"/>
      <c r="V18" s="85">
        <f>V16</f>
        <v>50</v>
      </c>
      <c r="W18" s="8">
        <f t="shared" ref="W18:AA18" si="4">W16</f>
        <v>60</v>
      </c>
      <c r="X18" s="8">
        <f t="shared" si="4"/>
        <v>70</v>
      </c>
      <c r="Y18" s="8">
        <f t="shared" si="4"/>
        <v>80</v>
      </c>
      <c r="Z18" s="8">
        <f t="shared" si="4"/>
        <v>100</v>
      </c>
      <c r="AA18" s="50">
        <f t="shared" si="4"/>
        <v>120</v>
      </c>
      <c r="AC18" s="51">
        <v>22</v>
      </c>
      <c r="AD18" s="50" t="str">
        <f>AD16</f>
        <v>をこえ</v>
      </c>
      <c r="AE18" s="85" t="str">
        <f>AE16</f>
        <v>*1.8</v>
      </c>
      <c r="AF18" s="170">
        <v>16</v>
      </c>
      <c r="AG18" s="171" t="s">
        <v>695</v>
      </c>
    </row>
    <row r="19" spans="1:36" ht="19.5" thickBot="1" x14ac:dyDescent="0.45">
      <c r="A19" s="51">
        <v>31.5</v>
      </c>
      <c r="B19" s="8">
        <v>527</v>
      </c>
      <c r="C19" s="50">
        <v>3.57</v>
      </c>
      <c r="E19" s="61">
        <v>38</v>
      </c>
      <c r="F19" s="8">
        <v>44</v>
      </c>
      <c r="G19" s="8">
        <v>171</v>
      </c>
      <c r="H19" s="8">
        <v>100</v>
      </c>
      <c r="I19" s="8">
        <v>249</v>
      </c>
      <c r="J19" s="8">
        <v>183</v>
      </c>
      <c r="K19" s="8">
        <v>200</v>
      </c>
      <c r="L19" s="8">
        <v>22</v>
      </c>
      <c r="M19" s="8">
        <v>20.5</v>
      </c>
      <c r="N19" s="8">
        <v>22</v>
      </c>
      <c r="O19" s="8">
        <v>3</v>
      </c>
      <c r="P19" s="8">
        <v>37.5</v>
      </c>
      <c r="Q19" s="8">
        <v>1.75</v>
      </c>
      <c r="R19" s="62">
        <f t="shared" si="0"/>
        <v>17.161999999999999</v>
      </c>
      <c r="T19" s="173" t="s">
        <v>758</v>
      </c>
      <c r="U19" s="195"/>
      <c r="V19" s="86">
        <v>5</v>
      </c>
      <c r="W19" s="53">
        <v>6.5</v>
      </c>
      <c r="X19" s="53">
        <v>8</v>
      </c>
      <c r="Y19" s="53">
        <v>8</v>
      </c>
      <c r="Z19" s="53">
        <v>10</v>
      </c>
      <c r="AA19" s="54">
        <v>10</v>
      </c>
      <c r="AC19" s="52">
        <v>50</v>
      </c>
      <c r="AD19" s="54" t="str">
        <f>AD17</f>
        <v>まで</v>
      </c>
      <c r="AE19" s="86" t="str">
        <f>AE17</f>
        <v>*2</v>
      </c>
      <c r="AF19" s="174"/>
      <c r="AG19" s="195"/>
    </row>
    <row r="20" spans="1:36" x14ac:dyDescent="0.4">
      <c r="A20" s="51">
        <v>33.5</v>
      </c>
      <c r="B20" s="8">
        <v>596</v>
      </c>
      <c r="C20" s="50">
        <v>4.03</v>
      </c>
      <c r="E20" s="61">
        <v>40</v>
      </c>
      <c r="F20" s="8">
        <v>46</v>
      </c>
      <c r="G20" s="8">
        <v>180</v>
      </c>
      <c r="H20" s="8">
        <v>105</v>
      </c>
      <c r="I20" s="8">
        <v>262</v>
      </c>
      <c r="J20" s="8">
        <v>191</v>
      </c>
      <c r="K20" s="8">
        <v>210</v>
      </c>
      <c r="L20" s="8">
        <v>23</v>
      </c>
      <c r="M20" s="8">
        <v>21.5</v>
      </c>
      <c r="N20" s="8">
        <v>23</v>
      </c>
      <c r="O20" s="8">
        <v>4</v>
      </c>
      <c r="P20" s="8">
        <v>40</v>
      </c>
      <c r="Q20" s="8">
        <v>1.92</v>
      </c>
      <c r="R20" s="62">
        <f t="shared" si="0"/>
        <v>18.829000000000001</v>
      </c>
    </row>
    <row r="21" spans="1:36" ht="19.5" thickBot="1" x14ac:dyDescent="0.45">
      <c r="A21" s="51">
        <v>35.5</v>
      </c>
      <c r="B21" s="8">
        <v>669</v>
      </c>
      <c r="C21" s="50">
        <v>4.53</v>
      </c>
      <c r="E21" s="61">
        <v>42</v>
      </c>
      <c r="F21" s="8">
        <v>51</v>
      </c>
      <c r="G21" s="8">
        <v>189</v>
      </c>
      <c r="H21" s="8">
        <v>110</v>
      </c>
      <c r="I21" s="8">
        <v>277</v>
      </c>
      <c r="J21" s="8">
        <v>200</v>
      </c>
      <c r="K21" s="8">
        <v>220</v>
      </c>
      <c r="L21" s="8">
        <v>25.5</v>
      </c>
      <c r="M21" s="8">
        <v>22.5</v>
      </c>
      <c r="N21" s="8">
        <v>24</v>
      </c>
      <c r="O21" s="8">
        <v>4</v>
      </c>
      <c r="P21" s="8">
        <v>42.5</v>
      </c>
      <c r="Q21" s="8">
        <v>2.4500000000000002</v>
      </c>
      <c r="R21" s="62">
        <f t="shared" si="0"/>
        <v>24.026</v>
      </c>
      <c r="T21">
        <v>8.3000000000000007</v>
      </c>
      <c r="AC21">
        <v>7.7</v>
      </c>
      <c r="AG21">
        <v>10.1</v>
      </c>
    </row>
    <row r="22" spans="1:36" ht="19.5" thickBot="1" x14ac:dyDescent="0.45">
      <c r="A22" s="51">
        <v>37.5</v>
      </c>
      <c r="B22" s="8">
        <v>747</v>
      </c>
      <c r="C22" s="50">
        <v>5.05</v>
      </c>
      <c r="E22" s="61">
        <v>45</v>
      </c>
      <c r="F22" s="8">
        <v>53</v>
      </c>
      <c r="G22" s="8">
        <v>200</v>
      </c>
      <c r="H22" s="8">
        <v>115</v>
      </c>
      <c r="I22" s="8">
        <v>290</v>
      </c>
      <c r="J22" s="8">
        <v>210</v>
      </c>
      <c r="K22" s="8">
        <v>230</v>
      </c>
      <c r="L22" s="8">
        <v>26.5</v>
      </c>
      <c r="M22" s="8">
        <v>24</v>
      </c>
      <c r="N22" s="8">
        <v>26</v>
      </c>
      <c r="O22" s="8">
        <v>4</v>
      </c>
      <c r="P22" s="8">
        <v>45</v>
      </c>
      <c r="Q22" s="8">
        <v>2.95</v>
      </c>
      <c r="R22" s="62">
        <f t="shared" si="0"/>
        <v>28.93</v>
      </c>
      <c r="T22" s="73" t="s">
        <v>385</v>
      </c>
      <c r="U22" s="84">
        <v>12</v>
      </c>
      <c r="V22" s="82">
        <v>14</v>
      </c>
      <c r="W22" s="82">
        <v>17</v>
      </c>
      <c r="X22" s="82">
        <v>19</v>
      </c>
      <c r="Y22" s="82">
        <v>22</v>
      </c>
      <c r="Z22" s="82">
        <v>27</v>
      </c>
      <c r="AA22" s="83">
        <v>30</v>
      </c>
      <c r="AC22" s="79" t="s">
        <v>309</v>
      </c>
      <c r="AD22" s="81" t="s">
        <v>738</v>
      </c>
      <c r="AG22" s="167" t="s">
        <v>759</v>
      </c>
      <c r="AH22" s="168"/>
      <c r="AI22" s="168" t="s">
        <v>760</v>
      </c>
      <c r="AJ22" s="169"/>
    </row>
    <row r="23" spans="1:36" ht="19.5" thickBot="1" x14ac:dyDescent="0.45">
      <c r="A23" s="51">
        <v>40</v>
      </c>
      <c r="B23" s="8">
        <v>850</v>
      </c>
      <c r="C23" s="50">
        <v>5.75</v>
      </c>
      <c r="E23" s="61">
        <v>48</v>
      </c>
      <c r="F23" s="8">
        <v>56</v>
      </c>
      <c r="G23" s="8">
        <v>214</v>
      </c>
      <c r="H23" s="8">
        <v>125</v>
      </c>
      <c r="I23" s="8">
        <v>312</v>
      </c>
      <c r="J23" s="8">
        <v>228</v>
      </c>
      <c r="K23" s="8">
        <v>250</v>
      </c>
      <c r="L23" s="8">
        <v>28</v>
      </c>
      <c r="M23" s="8">
        <v>26</v>
      </c>
      <c r="N23" s="8">
        <v>27</v>
      </c>
      <c r="O23" s="8">
        <v>4</v>
      </c>
      <c r="P23" s="8">
        <v>47.5</v>
      </c>
      <c r="Q23" s="8">
        <v>3.96</v>
      </c>
      <c r="R23" s="62">
        <f t="shared" si="0"/>
        <v>38.834000000000003</v>
      </c>
      <c r="T23" s="74" t="s">
        <v>295</v>
      </c>
      <c r="U23" s="85">
        <v>16.5</v>
      </c>
      <c r="V23" s="8">
        <v>19.2</v>
      </c>
      <c r="W23" s="8">
        <v>23</v>
      </c>
      <c r="X23" s="8">
        <v>26</v>
      </c>
      <c r="Y23" s="8">
        <v>29.5</v>
      </c>
      <c r="Z23" s="8">
        <v>36.5</v>
      </c>
      <c r="AA23" s="50">
        <v>40</v>
      </c>
      <c r="AC23" s="60">
        <v>5</v>
      </c>
      <c r="AD23" s="57">
        <v>5</v>
      </c>
      <c r="AG23" s="101" t="s">
        <v>761</v>
      </c>
      <c r="AH23" s="53" t="s">
        <v>389</v>
      </c>
      <c r="AI23" s="102" t="s">
        <v>761</v>
      </c>
      <c r="AJ23" s="54" t="str">
        <f>AH23</f>
        <v>外径</v>
      </c>
    </row>
    <row r="24" spans="1:36" x14ac:dyDescent="0.4">
      <c r="A24" s="51">
        <v>42.5</v>
      </c>
      <c r="B24" s="8">
        <v>959</v>
      </c>
      <c r="C24" s="50">
        <v>6.49</v>
      </c>
      <c r="E24" s="61">
        <v>50</v>
      </c>
      <c r="F24" s="8">
        <v>58</v>
      </c>
      <c r="G24" s="8">
        <v>224</v>
      </c>
      <c r="H24" s="8">
        <v>130</v>
      </c>
      <c r="I24" s="8">
        <v>322</v>
      </c>
      <c r="J24" s="8">
        <v>242</v>
      </c>
      <c r="K24" s="8">
        <v>260</v>
      </c>
      <c r="L24" s="8">
        <v>29</v>
      </c>
      <c r="M24" s="8">
        <v>27</v>
      </c>
      <c r="N24" s="8">
        <v>28</v>
      </c>
      <c r="O24" s="8">
        <v>4</v>
      </c>
      <c r="P24" s="8">
        <v>50</v>
      </c>
      <c r="Q24" s="8">
        <v>4.47</v>
      </c>
      <c r="R24" s="62">
        <f t="shared" si="0"/>
        <v>43.835999999999999</v>
      </c>
      <c r="T24" s="74" t="s">
        <v>22</v>
      </c>
      <c r="U24" s="85">
        <v>18</v>
      </c>
      <c r="V24" s="8">
        <v>20</v>
      </c>
      <c r="W24" s="8">
        <v>22</v>
      </c>
      <c r="X24" s="8">
        <v>26</v>
      </c>
      <c r="Y24" s="8">
        <v>30</v>
      </c>
      <c r="Z24" s="8">
        <v>32</v>
      </c>
      <c r="AA24" s="50">
        <v>36</v>
      </c>
      <c r="AC24" s="51">
        <v>6</v>
      </c>
      <c r="AD24" s="50">
        <v>6</v>
      </c>
      <c r="AG24" s="60">
        <v>3</v>
      </c>
      <c r="AH24" s="56">
        <v>80</v>
      </c>
      <c r="AI24" s="56">
        <v>3</v>
      </c>
      <c r="AJ24" s="57">
        <v>70</v>
      </c>
    </row>
    <row r="25" spans="1:36" ht="19.5" thickBot="1" x14ac:dyDescent="0.45">
      <c r="A25" s="51">
        <v>45</v>
      </c>
      <c r="B25" s="8">
        <v>1080</v>
      </c>
      <c r="C25" s="50">
        <v>7.28</v>
      </c>
      <c r="E25" s="61">
        <v>53</v>
      </c>
      <c r="F25" s="8">
        <v>63</v>
      </c>
      <c r="G25" s="8">
        <v>240</v>
      </c>
      <c r="H25" s="8">
        <v>135</v>
      </c>
      <c r="I25" s="8">
        <v>345</v>
      </c>
      <c r="J25" s="8">
        <v>246</v>
      </c>
      <c r="K25" s="8">
        <v>270</v>
      </c>
      <c r="L25" s="8">
        <v>31.5</v>
      </c>
      <c r="M25" s="8">
        <v>28</v>
      </c>
      <c r="N25" s="8">
        <v>32</v>
      </c>
      <c r="O25" s="8">
        <v>5</v>
      </c>
      <c r="P25" s="8">
        <v>53</v>
      </c>
      <c r="Q25" s="8">
        <v>5.33</v>
      </c>
      <c r="R25" s="62">
        <f t="shared" si="0"/>
        <v>52.268999999999998</v>
      </c>
      <c r="T25" s="75" t="s">
        <v>17</v>
      </c>
      <c r="U25" s="86">
        <v>30</v>
      </c>
      <c r="V25" s="53">
        <v>34</v>
      </c>
      <c r="W25" s="53">
        <v>40</v>
      </c>
      <c r="X25" s="53">
        <v>44</v>
      </c>
      <c r="Y25" s="53">
        <v>52</v>
      </c>
      <c r="Z25" s="53">
        <v>58</v>
      </c>
      <c r="AA25" s="54">
        <v>64</v>
      </c>
      <c r="AC25" s="51">
        <v>8</v>
      </c>
      <c r="AD25" s="50">
        <v>8</v>
      </c>
      <c r="AG25" s="51">
        <v>4</v>
      </c>
      <c r="AH25" s="8">
        <v>90</v>
      </c>
      <c r="AI25" s="8">
        <v>4</v>
      </c>
      <c r="AJ25" s="50">
        <v>85</v>
      </c>
    </row>
    <row r="26" spans="1:36" x14ac:dyDescent="0.4">
      <c r="A26" s="51">
        <v>47.5</v>
      </c>
      <c r="B26" s="8">
        <v>1200</v>
      </c>
      <c r="C26" s="50">
        <v>8.11</v>
      </c>
      <c r="E26" s="61">
        <v>56</v>
      </c>
      <c r="F26" s="8">
        <v>66</v>
      </c>
      <c r="G26" s="8">
        <v>248</v>
      </c>
      <c r="H26" s="8">
        <v>142</v>
      </c>
      <c r="I26" s="8">
        <v>358</v>
      </c>
      <c r="J26" s="8">
        <v>258</v>
      </c>
      <c r="K26" s="8">
        <v>284</v>
      </c>
      <c r="L26" s="8">
        <v>33</v>
      </c>
      <c r="M26" s="8">
        <v>29.5</v>
      </c>
      <c r="N26" s="8">
        <v>32</v>
      </c>
      <c r="O26" s="8">
        <v>5</v>
      </c>
      <c r="P26" s="8">
        <v>56</v>
      </c>
      <c r="Q26" s="8">
        <v>6.77</v>
      </c>
      <c r="R26" s="62">
        <f t="shared" si="0"/>
        <v>66.391000000000005</v>
      </c>
      <c r="AC26" s="51">
        <v>10</v>
      </c>
      <c r="AD26" s="50">
        <v>10</v>
      </c>
      <c r="AG26" s="51">
        <v>5</v>
      </c>
      <c r="AH26" s="8">
        <v>10</v>
      </c>
      <c r="AI26" s="8">
        <v>5</v>
      </c>
      <c r="AJ26" s="50">
        <v>95</v>
      </c>
    </row>
    <row r="27" spans="1:36" x14ac:dyDescent="0.4">
      <c r="A27" s="51">
        <v>50</v>
      </c>
      <c r="B27" s="8">
        <v>1330</v>
      </c>
      <c r="C27" s="50">
        <v>8.98</v>
      </c>
      <c r="E27" s="61">
        <v>60</v>
      </c>
      <c r="F27" s="8">
        <v>70</v>
      </c>
      <c r="G27" s="8">
        <v>274</v>
      </c>
      <c r="H27" s="8">
        <v>155</v>
      </c>
      <c r="I27" s="8">
        <v>396</v>
      </c>
      <c r="J27" s="8">
        <v>282</v>
      </c>
      <c r="K27" s="8">
        <v>310</v>
      </c>
      <c r="L27" s="8">
        <v>35</v>
      </c>
      <c r="M27" s="8">
        <v>32.5</v>
      </c>
      <c r="N27" s="8">
        <v>38</v>
      </c>
      <c r="O27" s="8">
        <v>5</v>
      </c>
      <c r="P27" s="8">
        <v>60</v>
      </c>
      <c r="Q27" s="8">
        <v>9.0399999999999991</v>
      </c>
      <c r="R27" s="62">
        <f t="shared" si="0"/>
        <v>88.652000000000001</v>
      </c>
      <c r="AC27" s="51">
        <v>12</v>
      </c>
      <c r="AD27" s="50">
        <v>12</v>
      </c>
      <c r="AG27" s="51">
        <v>6</v>
      </c>
      <c r="AH27" s="8">
        <v>112</v>
      </c>
      <c r="AI27" s="8">
        <v>6</v>
      </c>
      <c r="AJ27" s="50">
        <v>105</v>
      </c>
    </row>
    <row r="28" spans="1:36" ht="19.5" thickBot="1" x14ac:dyDescent="0.45">
      <c r="A28" s="51">
        <v>53</v>
      </c>
      <c r="B28" s="8">
        <v>1490</v>
      </c>
      <c r="C28" s="50">
        <v>10.1</v>
      </c>
      <c r="E28" s="63">
        <v>63</v>
      </c>
      <c r="F28" s="64">
        <v>73</v>
      </c>
      <c r="G28" s="64">
        <v>281</v>
      </c>
      <c r="H28" s="64">
        <v>160</v>
      </c>
      <c r="I28" s="64">
        <v>406</v>
      </c>
      <c r="J28" s="64">
        <v>291</v>
      </c>
      <c r="K28" s="64">
        <v>320</v>
      </c>
      <c r="L28" s="64">
        <v>36.5</v>
      </c>
      <c r="M28" s="64">
        <v>33.5</v>
      </c>
      <c r="N28" s="64">
        <v>38</v>
      </c>
      <c r="O28" s="64">
        <v>5</v>
      </c>
      <c r="P28" s="64">
        <v>63</v>
      </c>
      <c r="Q28" s="64">
        <v>9.44</v>
      </c>
      <c r="R28" s="65">
        <f t="shared" si="0"/>
        <v>92.575000000000003</v>
      </c>
      <c r="AC28" s="51">
        <v>14</v>
      </c>
      <c r="AD28" s="50">
        <v>14</v>
      </c>
      <c r="AG28" s="51">
        <v>8</v>
      </c>
      <c r="AH28" s="8">
        <v>125</v>
      </c>
      <c r="AI28" s="8">
        <v>8</v>
      </c>
      <c r="AJ28" s="50">
        <v>120</v>
      </c>
    </row>
    <row r="29" spans="1:36" ht="20.25" thickTop="1" thickBot="1" x14ac:dyDescent="0.45">
      <c r="A29" s="51">
        <v>56</v>
      </c>
      <c r="B29" s="8">
        <v>1670</v>
      </c>
      <c r="C29" s="50">
        <v>11.3</v>
      </c>
      <c r="AC29" s="52">
        <v>16</v>
      </c>
      <c r="AD29" s="54">
        <v>16</v>
      </c>
      <c r="AG29" s="51">
        <v>10</v>
      </c>
      <c r="AH29" s="8">
        <v>140</v>
      </c>
      <c r="AI29" s="8">
        <v>10</v>
      </c>
      <c r="AJ29" s="50">
        <v>130</v>
      </c>
    </row>
    <row r="30" spans="1:36" ht="19.5" thickBot="1" x14ac:dyDescent="0.45">
      <c r="A30" s="51">
        <v>60</v>
      </c>
      <c r="B30" s="8">
        <v>1910</v>
      </c>
      <c r="C30" s="50">
        <v>12.9</v>
      </c>
      <c r="AG30" s="51">
        <v>12</v>
      </c>
      <c r="AH30" s="8">
        <v>180</v>
      </c>
      <c r="AI30" s="86">
        <v>12</v>
      </c>
      <c r="AJ30" s="54">
        <v>160</v>
      </c>
    </row>
    <row r="31" spans="1:36" ht="19.5" thickBot="1" x14ac:dyDescent="0.45">
      <c r="A31" s="52">
        <v>63</v>
      </c>
      <c r="B31" s="53">
        <v>2110</v>
      </c>
      <c r="C31" s="54">
        <v>14.3</v>
      </c>
      <c r="AG31" s="52">
        <v>16</v>
      </c>
      <c r="AH31" s="54">
        <v>212</v>
      </c>
    </row>
    <row r="33" spans="1:34" ht="19.5" thickBot="1" x14ac:dyDescent="0.45">
      <c r="A33">
        <v>3.6</v>
      </c>
      <c r="E33">
        <v>7.13</v>
      </c>
      <c r="N33">
        <v>8.1999999999999993</v>
      </c>
      <c r="P33">
        <v>8.6999999999999993</v>
      </c>
      <c r="X33">
        <v>11.4</v>
      </c>
      <c r="AG33">
        <v>11.1</v>
      </c>
    </row>
    <row r="34" spans="1:34" ht="19.5" thickBot="1" x14ac:dyDescent="0.45">
      <c r="A34" s="72" t="s">
        <v>762</v>
      </c>
      <c r="E34" s="130" t="s">
        <v>208</v>
      </c>
      <c r="F34" s="87">
        <v>10</v>
      </c>
      <c r="G34" s="82">
        <v>12</v>
      </c>
      <c r="H34" s="82">
        <v>16</v>
      </c>
      <c r="I34" s="82">
        <v>20</v>
      </c>
      <c r="J34" s="82">
        <v>24</v>
      </c>
      <c r="K34" s="82">
        <v>30</v>
      </c>
      <c r="L34" s="83">
        <v>36</v>
      </c>
      <c r="N34" s="77" t="s">
        <v>763</v>
      </c>
      <c r="P34" s="119" t="s">
        <v>16</v>
      </c>
      <c r="Q34" s="96" t="s">
        <v>78</v>
      </c>
      <c r="R34" s="96" t="s">
        <v>17</v>
      </c>
      <c r="S34" s="97" t="s">
        <v>22</v>
      </c>
      <c r="T34" s="129" t="s">
        <v>237</v>
      </c>
      <c r="X34" s="200" t="s">
        <v>9</v>
      </c>
      <c r="Y34" s="194" t="s">
        <v>313</v>
      </c>
      <c r="Z34" s="194" t="s">
        <v>68</v>
      </c>
      <c r="AA34" s="194" t="s">
        <v>740</v>
      </c>
      <c r="AB34" s="194" t="s">
        <v>764</v>
      </c>
      <c r="AC34" s="194" t="s">
        <v>765</v>
      </c>
      <c r="AD34" s="194"/>
      <c r="AE34" s="192" t="s">
        <v>766</v>
      </c>
      <c r="AG34" s="117" t="s">
        <v>767</v>
      </c>
      <c r="AH34" s="118" t="s">
        <v>768</v>
      </c>
    </row>
    <row r="35" spans="1:34" ht="19.5" thickBot="1" x14ac:dyDescent="0.45">
      <c r="A35" s="73">
        <v>5.5</v>
      </c>
      <c r="E35" s="130" t="s">
        <v>769</v>
      </c>
      <c r="F35" s="51">
        <f>F34</f>
        <v>10</v>
      </c>
      <c r="G35" s="8">
        <f t="shared" ref="G35:L35" si="5">G34</f>
        <v>12</v>
      </c>
      <c r="H35" s="8">
        <f t="shared" si="5"/>
        <v>16</v>
      </c>
      <c r="I35" s="8">
        <f t="shared" si="5"/>
        <v>20</v>
      </c>
      <c r="J35" s="8">
        <f t="shared" si="5"/>
        <v>24</v>
      </c>
      <c r="K35" s="8">
        <f t="shared" si="5"/>
        <v>30</v>
      </c>
      <c r="L35" s="50">
        <f t="shared" si="5"/>
        <v>36</v>
      </c>
      <c r="N35" s="76">
        <v>5</v>
      </c>
      <c r="P35" s="87">
        <v>2</v>
      </c>
      <c r="Q35" s="82">
        <v>2</v>
      </c>
      <c r="R35" s="82">
        <v>8</v>
      </c>
      <c r="S35" s="82">
        <v>6</v>
      </c>
      <c r="T35" s="83">
        <v>0.5</v>
      </c>
      <c r="X35" s="201"/>
      <c r="Y35" s="202"/>
      <c r="Z35" s="202"/>
      <c r="AA35" s="202"/>
      <c r="AB35" s="202"/>
      <c r="AC35" s="123" t="s">
        <v>770</v>
      </c>
      <c r="AD35" s="123" t="s">
        <v>36</v>
      </c>
      <c r="AE35" s="193"/>
      <c r="AG35" s="120" t="s">
        <v>3</v>
      </c>
      <c r="AH35" s="128" t="s">
        <v>36</v>
      </c>
    </row>
    <row r="36" spans="1:34" ht="19.5" thickBot="1" x14ac:dyDescent="0.45">
      <c r="A36" s="74">
        <v>6</v>
      </c>
      <c r="E36" s="130" t="s">
        <v>771</v>
      </c>
      <c r="F36" s="51">
        <v>16</v>
      </c>
      <c r="G36" s="8">
        <v>19</v>
      </c>
      <c r="H36" s="8">
        <v>26</v>
      </c>
      <c r="I36" s="8">
        <v>32</v>
      </c>
      <c r="J36" s="8">
        <v>38</v>
      </c>
      <c r="K36" s="8">
        <v>48</v>
      </c>
      <c r="L36" s="50">
        <v>58</v>
      </c>
      <c r="N36" s="74">
        <f>N35+1</f>
        <v>6</v>
      </c>
      <c r="P36" s="51">
        <v>3</v>
      </c>
      <c r="Q36" s="8">
        <v>3</v>
      </c>
      <c r="R36" s="8">
        <v>10</v>
      </c>
      <c r="S36" s="8">
        <v>8</v>
      </c>
      <c r="T36" s="50">
        <v>0.9</v>
      </c>
      <c r="X36" s="60">
        <v>25</v>
      </c>
      <c r="Y36" s="56">
        <f>X36</f>
        <v>25</v>
      </c>
      <c r="Z36" s="56">
        <v>3</v>
      </c>
      <c r="AA36" s="56">
        <v>4</v>
      </c>
      <c r="AB36" s="56">
        <v>2</v>
      </c>
      <c r="AC36" s="56">
        <v>1.427</v>
      </c>
      <c r="AD36" s="56">
        <f>AC36*(10^3)</f>
        <v>1427</v>
      </c>
      <c r="AE36" s="57">
        <f>ROUND(AD36*7.87/10000,2)</f>
        <v>1.1200000000000001</v>
      </c>
      <c r="AG36" s="60">
        <v>5</v>
      </c>
      <c r="AH36" s="57">
        <v>7</v>
      </c>
    </row>
    <row r="37" spans="1:34" ht="19.5" thickBot="1" x14ac:dyDescent="0.45">
      <c r="A37" s="74">
        <v>7</v>
      </c>
      <c r="E37" s="130" t="s">
        <v>772</v>
      </c>
      <c r="F37" s="51">
        <v>7</v>
      </c>
      <c r="G37" s="8">
        <v>8</v>
      </c>
      <c r="H37" s="8">
        <v>11</v>
      </c>
      <c r="I37" s="8">
        <v>14</v>
      </c>
      <c r="J37" s="8">
        <v>17</v>
      </c>
      <c r="K37" s="8">
        <v>21</v>
      </c>
      <c r="L37" s="50">
        <v>25</v>
      </c>
      <c r="N37" s="74">
        <f t="shared" ref="N37:N56" si="6">N36+1</f>
        <v>7</v>
      </c>
      <c r="P37" s="51">
        <v>4</v>
      </c>
      <c r="Q37" s="8">
        <v>4</v>
      </c>
      <c r="R37" s="8">
        <v>12</v>
      </c>
      <c r="S37" s="8">
        <v>10</v>
      </c>
      <c r="T37" s="50">
        <v>1.2</v>
      </c>
      <c r="X37" s="51">
        <v>30</v>
      </c>
      <c r="Y37" s="8">
        <f t="shared" ref="Y37:Y75" si="7">X37</f>
        <v>30</v>
      </c>
      <c r="Z37" s="8">
        <v>3</v>
      </c>
      <c r="AA37" s="8">
        <v>4</v>
      </c>
      <c r="AB37" s="8">
        <v>2</v>
      </c>
      <c r="AC37" s="8">
        <v>1.7270000000000001</v>
      </c>
      <c r="AD37" s="8">
        <f t="shared" ref="AD37:AD75" si="8">AC37*(10^3)</f>
        <v>1727</v>
      </c>
      <c r="AE37" s="50">
        <f t="shared" ref="AE37:AE63" si="9">ROUND(AD37*7.87/10000,2)</f>
        <v>1.36</v>
      </c>
      <c r="AG37" s="51">
        <v>7.5</v>
      </c>
      <c r="AH37" s="50">
        <v>8</v>
      </c>
    </row>
    <row r="38" spans="1:34" ht="19.5" thickBot="1" x14ac:dyDescent="0.45">
      <c r="A38" s="74">
        <v>8</v>
      </c>
      <c r="E38" s="88" t="s">
        <v>773</v>
      </c>
      <c r="F38" s="51">
        <v>0.5</v>
      </c>
      <c r="G38" s="8">
        <v>6</v>
      </c>
      <c r="H38" s="8">
        <v>0.8</v>
      </c>
      <c r="I38" s="8">
        <v>1</v>
      </c>
      <c r="J38" s="8">
        <v>1.2</v>
      </c>
      <c r="K38" s="8">
        <v>1.5</v>
      </c>
      <c r="L38" s="50">
        <v>1.8</v>
      </c>
      <c r="N38" s="74">
        <f t="shared" si="6"/>
        <v>8</v>
      </c>
      <c r="P38" s="51">
        <v>5</v>
      </c>
      <c r="Q38" s="8">
        <v>5</v>
      </c>
      <c r="R38" s="8">
        <v>17</v>
      </c>
      <c r="S38" s="8">
        <v>12</v>
      </c>
      <c r="T38" s="50">
        <v>1.7</v>
      </c>
      <c r="X38" s="51">
        <v>40</v>
      </c>
      <c r="Y38" s="8">
        <f t="shared" si="7"/>
        <v>40</v>
      </c>
      <c r="Z38" s="8">
        <v>3</v>
      </c>
      <c r="AA38" s="8">
        <v>4.5</v>
      </c>
      <c r="AB38" s="8">
        <v>2</v>
      </c>
      <c r="AC38" s="8">
        <v>2.3359999999999999</v>
      </c>
      <c r="AD38" s="8">
        <f t="shared" si="8"/>
        <v>2336</v>
      </c>
      <c r="AE38" s="50">
        <v>1.83</v>
      </c>
      <c r="AG38" s="51">
        <v>10</v>
      </c>
      <c r="AH38" s="50">
        <v>8</v>
      </c>
    </row>
    <row r="39" spans="1:34" ht="19.5" thickBot="1" x14ac:dyDescent="0.45">
      <c r="A39" s="74">
        <v>9</v>
      </c>
      <c r="E39" s="130" t="s">
        <v>774</v>
      </c>
      <c r="F39" s="51">
        <v>0.5</v>
      </c>
      <c r="G39" s="8">
        <v>0.7</v>
      </c>
      <c r="H39" s="8">
        <v>0.8</v>
      </c>
      <c r="I39" s="8">
        <v>0.9</v>
      </c>
      <c r="J39" s="8">
        <v>1.2</v>
      </c>
      <c r="K39" s="8">
        <v>1.5</v>
      </c>
      <c r="L39" s="50">
        <v>1.8</v>
      </c>
      <c r="N39" s="74">
        <f t="shared" si="6"/>
        <v>9</v>
      </c>
      <c r="P39" s="51">
        <v>6</v>
      </c>
      <c r="Q39" s="8">
        <v>6</v>
      </c>
      <c r="R39" s="8">
        <v>22</v>
      </c>
      <c r="S39" s="8">
        <v>14</v>
      </c>
      <c r="T39" s="50">
        <v>2.2000000000000002</v>
      </c>
      <c r="X39" s="51">
        <v>40</v>
      </c>
      <c r="Y39" s="8">
        <f t="shared" si="7"/>
        <v>40</v>
      </c>
      <c r="Z39" s="8">
        <v>5</v>
      </c>
      <c r="AA39" s="8">
        <v>4.5</v>
      </c>
      <c r="AB39" s="8">
        <v>3</v>
      </c>
      <c r="AC39" s="8">
        <v>3.7549999999999999</v>
      </c>
      <c r="AD39" s="8">
        <f t="shared" si="8"/>
        <v>3755</v>
      </c>
      <c r="AE39" s="50">
        <v>2.95</v>
      </c>
      <c r="AG39" s="51">
        <v>15</v>
      </c>
      <c r="AH39" s="50">
        <v>12</v>
      </c>
    </row>
    <row r="40" spans="1:34" ht="19.5" thickBot="1" x14ac:dyDescent="0.45">
      <c r="A40" s="74">
        <v>10</v>
      </c>
      <c r="E40" s="130" t="s">
        <v>775</v>
      </c>
      <c r="F40" s="51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50">
        <v>2</v>
      </c>
      <c r="N40" s="74">
        <f t="shared" si="6"/>
        <v>10</v>
      </c>
      <c r="P40" s="51">
        <v>8</v>
      </c>
      <c r="Q40" s="8">
        <v>7</v>
      </c>
      <c r="R40" s="8">
        <v>30</v>
      </c>
      <c r="S40" s="8">
        <v>16</v>
      </c>
      <c r="T40" s="50">
        <v>2.4</v>
      </c>
      <c r="X40" s="51">
        <v>45</v>
      </c>
      <c r="Y40" s="8">
        <f t="shared" si="7"/>
        <v>45</v>
      </c>
      <c r="Z40" s="8">
        <v>4</v>
      </c>
      <c r="AA40" s="8">
        <v>6.5</v>
      </c>
      <c r="AB40" s="8">
        <v>3</v>
      </c>
      <c r="AC40" s="8">
        <v>3.492</v>
      </c>
      <c r="AD40" s="8">
        <f t="shared" si="8"/>
        <v>3492</v>
      </c>
      <c r="AE40" s="50">
        <v>2.74</v>
      </c>
      <c r="AG40" s="52">
        <v>20</v>
      </c>
      <c r="AH40" s="54">
        <v>12</v>
      </c>
    </row>
    <row r="41" spans="1:34" ht="19.5" thickBot="1" x14ac:dyDescent="0.45">
      <c r="A41" s="74">
        <v>11</v>
      </c>
      <c r="E41" s="130" t="s">
        <v>632</v>
      </c>
      <c r="F41" s="51">
        <v>11</v>
      </c>
      <c r="G41" s="8">
        <v>13</v>
      </c>
      <c r="H41" s="8">
        <v>17</v>
      </c>
      <c r="I41" s="8">
        <v>21.5</v>
      </c>
      <c r="J41" s="8">
        <v>25.5</v>
      </c>
      <c r="K41" s="8">
        <v>32</v>
      </c>
      <c r="L41" s="50">
        <v>38</v>
      </c>
      <c r="N41" s="74">
        <f t="shared" si="6"/>
        <v>11</v>
      </c>
      <c r="P41" s="51">
        <v>10</v>
      </c>
      <c r="Q41" s="8">
        <v>8</v>
      </c>
      <c r="R41" s="8">
        <v>38</v>
      </c>
      <c r="S41" s="8">
        <v>18</v>
      </c>
      <c r="T41" s="50">
        <v>2.4</v>
      </c>
      <c r="X41" s="51">
        <v>45</v>
      </c>
      <c r="Y41" s="8">
        <f t="shared" si="7"/>
        <v>45</v>
      </c>
      <c r="Z41" s="8">
        <v>5</v>
      </c>
      <c r="AA41" s="8">
        <v>6.5</v>
      </c>
      <c r="AB41" s="8">
        <v>3</v>
      </c>
      <c r="AC41" s="8">
        <v>4.3019999999999996</v>
      </c>
      <c r="AD41" s="8">
        <f t="shared" si="8"/>
        <v>4302</v>
      </c>
      <c r="AE41" s="50">
        <v>3.38</v>
      </c>
    </row>
    <row r="42" spans="1:34" ht="19.5" thickBot="1" x14ac:dyDescent="0.45">
      <c r="A42" s="74">
        <v>12</v>
      </c>
      <c r="E42" s="206" t="s">
        <v>776</v>
      </c>
      <c r="F42" s="51">
        <v>10</v>
      </c>
      <c r="G42" s="8">
        <f>F43</f>
        <v>12</v>
      </c>
      <c r="H42" s="8">
        <f>G45</f>
        <v>18</v>
      </c>
      <c r="I42" s="8">
        <f>H45</f>
        <v>24</v>
      </c>
      <c r="J42" s="8">
        <f>I46</f>
        <v>32</v>
      </c>
      <c r="K42" s="8">
        <f>J46</f>
        <v>40</v>
      </c>
      <c r="L42" s="50">
        <f>K46</f>
        <v>50</v>
      </c>
      <c r="N42" s="74">
        <f t="shared" si="6"/>
        <v>12</v>
      </c>
      <c r="P42" s="51">
        <v>12</v>
      </c>
      <c r="Q42" s="8">
        <v>8</v>
      </c>
      <c r="R42" s="8">
        <v>44</v>
      </c>
      <c r="S42" s="8">
        <v>20</v>
      </c>
      <c r="T42" s="50">
        <v>2.4</v>
      </c>
      <c r="X42" s="51">
        <v>50</v>
      </c>
      <c r="Y42" s="8">
        <f t="shared" si="7"/>
        <v>50</v>
      </c>
      <c r="Z42" s="8">
        <v>4</v>
      </c>
      <c r="AA42" s="8">
        <v>6.5</v>
      </c>
      <c r="AB42" s="8">
        <v>3</v>
      </c>
      <c r="AC42" s="8">
        <v>3.8919999999999999</v>
      </c>
      <c r="AD42" s="8">
        <f t="shared" si="8"/>
        <v>3892</v>
      </c>
      <c r="AE42" s="50">
        <f t="shared" si="9"/>
        <v>3.06</v>
      </c>
    </row>
    <row r="43" spans="1:34" ht="19.5" thickBot="1" x14ac:dyDescent="0.45">
      <c r="A43" s="74">
        <v>13</v>
      </c>
      <c r="E43" s="206"/>
      <c r="F43" s="51">
        <v>12</v>
      </c>
      <c r="G43" s="8">
        <f t="shared" ref="G43:G58" si="10">F44</f>
        <v>14</v>
      </c>
      <c r="H43" s="8">
        <f t="shared" ref="H43:I61" si="11">G46</f>
        <v>20</v>
      </c>
      <c r="I43" s="8">
        <f t="shared" si="11"/>
        <v>26</v>
      </c>
      <c r="J43" s="8">
        <f t="shared" ref="J43:L67" si="12">I47</f>
        <v>34</v>
      </c>
      <c r="K43" s="8">
        <f t="shared" si="12"/>
        <v>42</v>
      </c>
      <c r="L43" s="50">
        <f t="shared" si="12"/>
        <v>52</v>
      </c>
      <c r="N43" s="74">
        <f t="shared" si="6"/>
        <v>13</v>
      </c>
      <c r="P43" s="51">
        <v>14</v>
      </c>
      <c r="Q43" s="8">
        <v>9</v>
      </c>
      <c r="R43" s="8">
        <v>50</v>
      </c>
      <c r="S43" s="8">
        <v>22</v>
      </c>
      <c r="T43" s="50">
        <v>2.9</v>
      </c>
      <c r="X43" s="51">
        <v>50</v>
      </c>
      <c r="Y43" s="8">
        <f t="shared" si="7"/>
        <v>50</v>
      </c>
      <c r="Z43" s="8">
        <v>5</v>
      </c>
      <c r="AA43" s="8">
        <v>6.5</v>
      </c>
      <c r="AB43" s="8">
        <v>3</v>
      </c>
      <c r="AC43" s="8">
        <v>4.8019999999999996</v>
      </c>
      <c r="AD43" s="8">
        <f t="shared" si="8"/>
        <v>4802</v>
      </c>
      <c r="AE43" s="50">
        <v>3.77</v>
      </c>
    </row>
    <row r="44" spans="1:34" ht="19.5" thickBot="1" x14ac:dyDescent="0.45">
      <c r="A44" s="74">
        <v>16</v>
      </c>
      <c r="E44" s="206"/>
      <c r="F44" s="51">
        <v>14</v>
      </c>
      <c r="G44" s="8">
        <f t="shared" si="10"/>
        <v>16</v>
      </c>
      <c r="H44" s="8">
        <f t="shared" si="11"/>
        <v>22</v>
      </c>
      <c r="I44" s="8">
        <f t="shared" si="11"/>
        <v>28</v>
      </c>
      <c r="J44" s="8">
        <f t="shared" si="12"/>
        <v>36</v>
      </c>
      <c r="K44" s="8">
        <f t="shared" si="12"/>
        <v>45</v>
      </c>
      <c r="L44" s="50">
        <f t="shared" si="12"/>
        <v>55</v>
      </c>
      <c r="N44" s="74">
        <f t="shared" si="6"/>
        <v>14</v>
      </c>
      <c r="P44" s="51">
        <v>16</v>
      </c>
      <c r="Q44" s="8">
        <v>10</v>
      </c>
      <c r="R44" s="8">
        <v>58</v>
      </c>
      <c r="S44" s="8">
        <v>25</v>
      </c>
      <c r="T44" s="50">
        <v>3.4</v>
      </c>
      <c r="X44" s="51">
        <v>50</v>
      </c>
      <c r="Y44" s="8">
        <f t="shared" si="7"/>
        <v>50</v>
      </c>
      <c r="Z44" s="8">
        <v>6</v>
      </c>
      <c r="AA44" s="8">
        <v>6.5</v>
      </c>
      <c r="AB44" s="8">
        <v>4.5</v>
      </c>
      <c r="AC44" s="8">
        <v>5.6440000000000001</v>
      </c>
      <c r="AD44" s="8">
        <f t="shared" si="8"/>
        <v>5644</v>
      </c>
      <c r="AE44" s="50">
        <v>4.43</v>
      </c>
    </row>
    <row r="45" spans="1:34" ht="19.5" thickBot="1" x14ac:dyDescent="0.45">
      <c r="A45" s="74">
        <v>19</v>
      </c>
      <c r="E45" s="206"/>
      <c r="F45" s="51">
        <v>16</v>
      </c>
      <c r="G45" s="8">
        <f t="shared" si="10"/>
        <v>18</v>
      </c>
      <c r="H45" s="8">
        <f t="shared" si="11"/>
        <v>24</v>
      </c>
      <c r="I45" s="8">
        <f t="shared" si="11"/>
        <v>30</v>
      </c>
      <c r="J45" s="8">
        <f t="shared" si="12"/>
        <v>38</v>
      </c>
      <c r="K45" s="8">
        <f t="shared" si="12"/>
        <v>48</v>
      </c>
      <c r="L45" s="50">
        <f t="shared" si="12"/>
        <v>58</v>
      </c>
      <c r="N45" s="74">
        <f t="shared" si="6"/>
        <v>15</v>
      </c>
      <c r="P45" s="51">
        <v>18</v>
      </c>
      <c r="Q45" s="8">
        <v>11</v>
      </c>
      <c r="R45" s="8">
        <v>65</v>
      </c>
      <c r="S45" s="8">
        <v>28</v>
      </c>
      <c r="T45" s="50">
        <v>3.4</v>
      </c>
      <c r="X45" s="51">
        <v>60</v>
      </c>
      <c r="Y45" s="8">
        <f t="shared" si="7"/>
        <v>60</v>
      </c>
      <c r="Z45" s="8">
        <v>4</v>
      </c>
      <c r="AA45" s="8">
        <v>6.5</v>
      </c>
      <c r="AB45" s="8">
        <v>3</v>
      </c>
      <c r="AC45" s="8">
        <v>4.6920000000000002</v>
      </c>
      <c r="AD45" s="8">
        <f t="shared" si="8"/>
        <v>4692</v>
      </c>
      <c r="AE45" s="50">
        <v>3.68</v>
      </c>
    </row>
    <row r="46" spans="1:34" ht="19.5" thickBot="1" x14ac:dyDescent="0.45">
      <c r="A46" s="74">
        <v>20</v>
      </c>
      <c r="E46" s="206"/>
      <c r="F46" s="51">
        <v>18</v>
      </c>
      <c r="G46" s="8">
        <f t="shared" si="10"/>
        <v>20</v>
      </c>
      <c r="H46" s="8">
        <f t="shared" si="11"/>
        <v>26</v>
      </c>
      <c r="I46" s="8">
        <f t="shared" si="11"/>
        <v>32</v>
      </c>
      <c r="J46" s="8">
        <f t="shared" si="12"/>
        <v>40</v>
      </c>
      <c r="K46" s="8">
        <f t="shared" si="12"/>
        <v>50</v>
      </c>
      <c r="L46" s="50">
        <f t="shared" si="12"/>
        <v>60</v>
      </c>
      <c r="N46" s="74">
        <f t="shared" si="6"/>
        <v>16</v>
      </c>
      <c r="P46" s="51">
        <v>20</v>
      </c>
      <c r="Q46" s="8">
        <v>12</v>
      </c>
      <c r="R46" s="8">
        <v>75</v>
      </c>
      <c r="S46" s="8">
        <v>32</v>
      </c>
      <c r="T46" s="50">
        <v>3.9</v>
      </c>
      <c r="X46" s="51">
        <v>60</v>
      </c>
      <c r="Y46" s="8">
        <f t="shared" si="7"/>
        <v>60</v>
      </c>
      <c r="Z46" s="8">
        <v>5</v>
      </c>
      <c r="AA46" s="8">
        <v>6.5</v>
      </c>
      <c r="AB46" s="8">
        <v>3</v>
      </c>
      <c r="AC46" s="8">
        <v>5.8019999999999996</v>
      </c>
      <c r="AD46" s="8">
        <f t="shared" si="8"/>
        <v>5802</v>
      </c>
      <c r="AE46" s="50">
        <v>4.55</v>
      </c>
    </row>
    <row r="47" spans="1:34" ht="19.5" thickBot="1" x14ac:dyDescent="0.45">
      <c r="A47" s="74">
        <v>22</v>
      </c>
      <c r="E47" s="206"/>
      <c r="F47" s="51">
        <v>20</v>
      </c>
      <c r="G47" s="8">
        <f t="shared" si="10"/>
        <v>22</v>
      </c>
      <c r="H47" s="8">
        <f t="shared" si="11"/>
        <v>28</v>
      </c>
      <c r="I47" s="8">
        <f t="shared" si="11"/>
        <v>34</v>
      </c>
      <c r="J47" s="8">
        <f t="shared" si="12"/>
        <v>42</v>
      </c>
      <c r="K47" s="8">
        <f t="shared" si="12"/>
        <v>52</v>
      </c>
      <c r="L47" s="50">
        <f t="shared" si="12"/>
        <v>62</v>
      </c>
      <c r="N47" s="74">
        <f t="shared" si="6"/>
        <v>17</v>
      </c>
      <c r="P47" s="51">
        <v>22</v>
      </c>
      <c r="Q47" s="8">
        <v>14</v>
      </c>
      <c r="R47" s="8">
        <v>85</v>
      </c>
      <c r="S47" s="8">
        <v>36</v>
      </c>
      <c r="T47" s="50">
        <v>4.4000000000000004</v>
      </c>
      <c r="X47" s="51">
        <v>65</v>
      </c>
      <c r="Y47" s="8">
        <f t="shared" si="7"/>
        <v>65</v>
      </c>
      <c r="Z47" s="8">
        <v>5</v>
      </c>
      <c r="AA47" s="8">
        <v>8.5</v>
      </c>
      <c r="AB47" s="8">
        <v>3</v>
      </c>
      <c r="AC47" s="8">
        <v>6.367</v>
      </c>
      <c r="AD47" s="8">
        <f t="shared" si="8"/>
        <v>6367</v>
      </c>
      <c r="AE47" s="50">
        <v>5</v>
      </c>
    </row>
    <row r="48" spans="1:34" ht="19.5" thickBot="1" x14ac:dyDescent="0.45">
      <c r="A48" s="74">
        <v>24</v>
      </c>
      <c r="E48" s="206"/>
      <c r="F48" s="51">
        <v>22</v>
      </c>
      <c r="G48" s="8">
        <f t="shared" si="10"/>
        <v>24</v>
      </c>
      <c r="H48" s="8">
        <f t="shared" si="11"/>
        <v>30</v>
      </c>
      <c r="I48" s="8">
        <f t="shared" si="11"/>
        <v>36</v>
      </c>
      <c r="J48" s="8">
        <f t="shared" si="12"/>
        <v>45</v>
      </c>
      <c r="K48" s="8">
        <f t="shared" si="12"/>
        <v>55</v>
      </c>
      <c r="L48" s="50">
        <f t="shared" si="12"/>
        <v>65</v>
      </c>
      <c r="N48" s="74">
        <f t="shared" si="6"/>
        <v>18</v>
      </c>
      <c r="P48" s="51">
        <v>25</v>
      </c>
      <c r="Q48" s="8">
        <v>14</v>
      </c>
      <c r="R48" s="8">
        <v>95</v>
      </c>
      <c r="S48" s="8">
        <v>40</v>
      </c>
      <c r="T48" s="99">
        <v>4.4000000000000004</v>
      </c>
      <c r="X48" s="51">
        <v>65</v>
      </c>
      <c r="Y48" s="8">
        <f t="shared" si="7"/>
        <v>65</v>
      </c>
      <c r="Z48" s="8">
        <v>6</v>
      </c>
      <c r="AA48" s="8">
        <v>8.5</v>
      </c>
      <c r="AB48" s="8">
        <v>4</v>
      </c>
      <c r="AC48" s="8">
        <v>7.5270000000000001</v>
      </c>
      <c r="AD48" s="8">
        <f t="shared" si="8"/>
        <v>7527</v>
      </c>
      <c r="AE48" s="50">
        <v>5.91</v>
      </c>
    </row>
    <row r="49" spans="1:31" ht="19.5" thickBot="1" x14ac:dyDescent="0.45">
      <c r="A49" s="74">
        <v>25</v>
      </c>
      <c r="E49" s="206"/>
      <c r="F49" s="51">
        <v>24</v>
      </c>
      <c r="G49" s="8">
        <f t="shared" si="10"/>
        <v>26</v>
      </c>
      <c r="H49" s="8">
        <f t="shared" si="11"/>
        <v>32</v>
      </c>
      <c r="I49" s="8">
        <f t="shared" si="11"/>
        <v>38</v>
      </c>
      <c r="J49" s="8">
        <f t="shared" si="12"/>
        <v>48</v>
      </c>
      <c r="K49" s="8">
        <f t="shared" si="12"/>
        <v>58</v>
      </c>
      <c r="L49" s="50">
        <f t="shared" si="12"/>
        <v>68</v>
      </c>
      <c r="N49" s="74">
        <f t="shared" si="6"/>
        <v>19</v>
      </c>
      <c r="P49" s="51">
        <v>28</v>
      </c>
      <c r="Q49" s="8">
        <v>16</v>
      </c>
      <c r="R49" s="8">
        <v>110</v>
      </c>
      <c r="S49" s="8">
        <v>45</v>
      </c>
      <c r="T49" s="99">
        <v>5.4</v>
      </c>
      <c r="X49" s="51">
        <v>65</v>
      </c>
      <c r="Y49" s="8">
        <f t="shared" si="7"/>
        <v>65</v>
      </c>
      <c r="Z49" s="8">
        <v>8</v>
      </c>
      <c r="AA49" s="8">
        <v>8.5</v>
      </c>
      <c r="AB49" s="8">
        <v>6</v>
      </c>
      <c r="AC49" s="8">
        <v>9.7609999999999992</v>
      </c>
      <c r="AD49" s="8">
        <f t="shared" si="8"/>
        <v>9761</v>
      </c>
      <c r="AE49" s="50">
        <v>7.66</v>
      </c>
    </row>
    <row r="50" spans="1:31" ht="19.5" thickBot="1" x14ac:dyDescent="0.45">
      <c r="A50" s="74">
        <v>28</v>
      </c>
      <c r="E50" s="206"/>
      <c r="F50" s="51">
        <v>26</v>
      </c>
      <c r="G50" s="8">
        <f t="shared" si="10"/>
        <v>28</v>
      </c>
      <c r="H50" s="8">
        <f t="shared" si="11"/>
        <v>34</v>
      </c>
      <c r="I50" s="8">
        <f t="shared" si="11"/>
        <v>40</v>
      </c>
      <c r="J50" s="8">
        <f t="shared" si="12"/>
        <v>50</v>
      </c>
      <c r="K50" s="8">
        <f t="shared" si="12"/>
        <v>60</v>
      </c>
      <c r="L50" s="50">
        <f t="shared" si="12"/>
        <v>70</v>
      </c>
      <c r="N50" s="74">
        <f t="shared" si="6"/>
        <v>20</v>
      </c>
      <c r="P50" s="52">
        <v>32</v>
      </c>
      <c r="Q50" s="53">
        <v>18</v>
      </c>
      <c r="R50" s="53">
        <v>130</v>
      </c>
      <c r="S50" s="8">
        <v>50</v>
      </c>
      <c r="T50" s="100">
        <v>6.4</v>
      </c>
      <c r="X50" s="51">
        <v>70</v>
      </c>
      <c r="Y50" s="8">
        <f t="shared" si="7"/>
        <v>70</v>
      </c>
      <c r="Z50" s="8">
        <v>6</v>
      </c>
      <c r="AA50" s="8">
        <v>8.5</v>
      </c>
      <c r="AB50" s="8">
        <v>4</v>
      </c>
      <c r="AC50" s="8">
        <v>8.1270000000000007</v>
      </c>
      <c r="AD50" s="8">
        <f t="shared" si="8"/>
        <v>8127.0000000000009</v>
      </c>
      <c r="AE50" s="50">
        <v>6.38</v>
      </c>
    </row>
    <row r="51" spans="1:31" ht="19.5" thickBot="1" x14ac:dyDescent="0.45">
      <c r="A51" s="74">
        <v>30</v>
      </c>
      <c r="E51" s="206"/>
      <c r="F51" s="51">
        <v>28</v>
      </c>
      <c r="G51" s="8">
        <f t="shared" si="10"/>
        <v>30</v>
      </c>
      <c r="H51" s="8">
        <f t="shared" si="11"/>
        <v>36</v>
      </c>
      <c r="I51" s="8">
        <f t="shared" si="11"/>
        <v>42</v>
      </c>
      <c r="J51" s="8">
        <f t="shared" si="12"/>
        <v>52</v>
      </c>
      <c r="K51" s="8">
        <f t="shared" si="12"/>
        <v>62</v>
      </c>
      <c r="L51" s="50">
        <f t="shared" si="12"/>
        <v>72</v>
      </c>
      <c r="N51" s="74">
        <f t="shared" si="6"/>
        <v>21</v>
      </c>
      <c r="P51" s="207" t="s">
        <v>777</v>
      </c>
      <c r="Q51" s="208"/>
      <c r="R51" s="209"/>
      <c r="S51" s="98">
        <v>56</v>
      </c>
      <c r="X51" s="51">
        <v>75</v>
      </c>
      <c r="Y51" s="8">
        <f t="shared" si="7"/>
        <v>75</v>
      </c>
      <c r="Z51" s="8">
        <v>6</v>
      </c>
      <c r="AA51" s="8">
        <v>8.5</v>
      </c>
      <c r="AB51" s="8">
        <v>4</v>
      </c>
      <c r="AC51" s="8">
        <v>8.7270000000000003</v>
      </c>
      <c r="AD51" s="8">
        <f t="shared" si="8"/>
        <v>8727</v>
      </c>
      <c r="AE51" s="50">
        <v>6.85</v>
      </c>
    </row>
    <row r="52" spans="1:31" ht="19.5" thickBot="1" x14ac:dyDescent="0.45">
      <c r="A52" s="74">
        <v>32</v>
      </c>
      <c r="E52" s="206"/>
      <c r="F52" s="51">
        <v>30</v>
      </c>
      <c r="G52" s="8">
        <f t="shared" si="10"/>
        <v>32</v>
      </c>
      <c r="H52" s="8">
        <f t="shared" si="11"/>
        <v>38</v>
      </c>
      <c r="I52" s="8">
        <f t="shared" si="11"/>
        <v>45</v>
      </c>
      <c r="J52" s="8">
        <f t="shared" si="12"/>
        <v>55</v>
      </c>
      <c r="K52" s="8">
        <f t="shared" si="12"/>
        <v>65</v>
      </c>
      <c r="L52" s="50">
        <f t="shared" si="12"/>
        <v>75</v>
      </c>
      <c r="N52" s="74">
        <f t="shared" si="6"/>
        <v>22</v>
      </c>
      <c r="P52" s="207"/>
      <c r="Q52" s="208"/>
      <c r="R52" s="209"/>
      <c r="S52" s="89">
        <v>63</v>
      </c>
      <c r="X52" s="51">
        <v>75</v>
      </c>
      <c r="Y52" s="8">
        <f t="shared" si="7"/>
        <v>75</v>
      </c>
      <c r="Z52" s="8">
        <v>9</v>
      </c>
      <c r="AA52" s="8">
        <v>8.5</v>
      </c>
      <c r="AB52" s="8">
        <v>6</v>
      </c>
      <c r="AC52" s="8">
        <v>12.69</v>
      </c>
      <c r="AD52" s="8">
        <f t="shared" si="8"/>
        <v>12690</v>
      </c>
      <c r="AE52" s="50">
        <v>9.9600000000000009</v>
      </c>
    </row>
    <row r="53" spans="1:31" ht="19.5" thickBot="1" x14ac:dyDescent="0.45">
      <c r="A53" s="74">
        <v>36</v>
      </c>
      <c r="E53" s="206"/>
      <c r="F53" s="51">
        <v>32</v>
      </c>
      <c r="G53" s="8">
        <f t="shared" si="10"/>
        <v>34</v>
      </c>
      <c r="H53" s="8">
        <f t="shared" si="11"/>
        <v>40</v>
      </c>
      <c r="I53" s="8">
        <f t="shared" si="11"/>
        <v>48</v>
      </c>
      <c r="J53" s="8">
        <f t="shared" si="12"/>
        <v>58</v>
      </c>
      <c r="K53" s="8">
        <f t="shared" si="12"/>
        <v>68</v>
      </c>
      <c r="L53" s="50">
        <f t="shared" si="12"/>
        <v>80</v>
      </c>
      <c r="N53" s="74">
        <f t="shared" si="6"/>
        <v>23</v>
      </c>
      <c r="P53" s="207"/>
      <c r="Q53" s="208"/>
      <c r="R53" s="209"/>
      <c r="S53" s="89">
        <v>70</v>
      </c>
      <c r="X53" s="51">
        <v>75</v>
      </c>
      <c r="Y53" s="8">
        <f t="shared" si="7"/>
        <v>75</v>
      </c>
      <c r="Z53" s="8">
        <v>12</v>
      </c>
      <c r="AA53" s="8">
        <v>8.5</v>
      </c>
      <c r="AB53" s="8">
        <v>6</v>
      </c>
      <c r="AC53" s="8">
        <v>16.559999999999999</v>
      </c>
      <c r="AD53" s="8">
        <f t="shared" si="8"/>
        <v>16560</v>
      </c>
      <c r="AE53" s="50">
        <v>13</v>
      </c>
    </row>
    <row r="54" spans="1:31" ht="19.5" thickBot="1" x14ac:dyDescent="0.45">
      <c r="A54" s="74">
        <v>38</v>
      </c>
      <c r="E54" s="206"/>
      <c r="F54" s="51">
        <v>34</v>
      </c>
      <c r="G54" s="8">
        <f t="shared" si="10"/>
        <v>36</v>
      </c>
      <c r="H54" s="8">
        <f t="shared" si="11"/>
        <v>42</v>
      </c>
      <c r="I54" s="8">
        <f t="shared" si="11"/>
        <v>50</v>
      </c>
      <c r="J54" s="8">
        <f t="shared" si="12"/>
        <v>60</v>
      </c>
      <c r="K54" s="8">
        <f t="shared" si="12"/>
        <v>70</v>
      </c>
      <c r="L54" s="50">
        <f t="shared" si="12"/>
        <v>85</v>
      </c>
      <c r="N54" s="74">
        <f t="shared" si="6"/>
        <v>24</v>
      </c>
      <c r="P54" s="210"/>
      <c r="Q54" s="211"/>
      <c r="R54" s="212"/>
      <c r="S54" s="89">
        <v>80</v>
      </c>
      <c r="X54" s="51">
        <v>80</v>
      </c>
      <c r="Y54" s="8">
        <f t="shared" si="7"/>
        <v>80</v>
      </c>
      <c r="Z54" s="8">
        <v>6</v>
      </c>
      <c r="AA54" s="8">
        <v>8.5</v>
      </c>
      <c r="AB54" s="8">
        <v>4</v>
      </c>
      <c r="AC54" s="8">
        <v>9.327</v>
      </c>
      <c r="AD54" s="8">
        <f t="shared" si="8"/>
        <v>9327</v>
      </c>
      <c r="AE54" s="50">
        <v>7.32</v>
      </c>
    </row>
    <row r="55" spans="1:31" ht="19.5" thickBot="1" x14ac:dyDescent="0.45">
      <c r="A55" s="74">
        <v>42</v>
      </c>
      <c r="E55" s="206"/>
      <c r="F55" s="51">
        <v>36</v>
      </c>
      <c r="G55" s="8">
        <f t="shared" si="10"/>
        <v>38</v>
      </c>
      <c r="H55" s="8">
        <f t="shared" si="11"/>
        <v>45</v>
      </c>
      <c r="I55" s="8">
        <f t="shared" si="11"/>
        <v>52</v>
      </c>
      <c r="J55" s="8">
        <f t="shared" si="12"/>
        <v>62</v>
      </c>
      <c r="K55" s="8">
        <f t="shared" si="12"/>
        <v>72</v>
      </c>
      <c r="L55" s="50">
        <f t="shared" si="12"/>
        <v>90</v>
      </c>
      <c r="N55" s="74">
        <f t="shared" si="6"/>
        <v>25</v>
      </c>
      <c r="S55" s="89">
        <v>90</v>
      </c>
      <c r="X55" s="51">
        <v>90</v>
      </c>
      <c r="Y55" s="8">
        <f t="shared" si="7"/>
        <v>90</v>
      </c>
      <c r="Z55" s="8">
        <v>6</v>
      </c>
      <c r="AA55" s="8">
        <v>10</v>
      </c>
      <c r="AB55" s="8">
        <v>5</v>
      </c>
      <c r="AC55" s="8">
        <v>10.55</v>
      </c>
      <c r="AD55" s="8">
        <f t="shared" si="8"/>
        <v>10550</v>
      </c>
      <c r="AE55" s="50">
        <v>8.2799999999999994</v>
      </c>
    </row>
    <row r="56" spans="1:31" ht="19.5" thickBot="1" x14ac:dyDescent="0.45">
      <c r="A56" s="74">
        <v>46</v>
      </c>
      <c r="E56" s="206"/>
      <c r="F56" s="51">
        <v>38</v>
      </c>
      <c r="G56" s="8">
        <f t="shared" si="10"/>
        <v>40</v>
      </c>
      <c r="H56" s="8">
        <f t="shared" si="11"/>
        <v>48</v>
      </c>
      <c r="I56" s="8">
        <f t="shared" si="11"/>
        <v>55</v>
      </c>
      <c r="J56" s="8">
        <f t="shared" si="12"/>
        <v>65</v>
      </c>
      <c r="K56" s="8">
        <f t="shared" si="12"/>
        <v>75</v>
      </c>
      <c r="L56" s="50">
        <f t="shared" si="12"/>
        <v>95</v>
      </c>
      <c r="N56" s="74">
        <f t="shared" si="6"/>
        <v>26</v>
      </c>
      <c r="S56" s="89">
        <v>100</v>
      </c>
      <c r="X56" s="51">
        <v>90</v>
      </c>
      <c r="Y56" s="8">
        <f t="shared" si="7"/>
        <v>90</v>
      </c>
      <c r="Z56" s="8">
        <v>7</v>
      </c>
      <c r="AA56" s="8">
        <v>10</v>
      </c>
      <c r="AB56" s="8">
        <v>5</v>
      </c>
      <c r="AC56" s="8">
        <v>12.22</v>
      </c>
      <c r="AD56" s="8">
        <f t="shared" si="8"/>
        <v>12220</v>
      </c>
      <c r="AE56" s="50">
        <v>9.59</v>
      </c>
    </row>
    <row r="57" spans="1:31" ht="19.5" thickBot="1" x14ac:dyDescent="0.45">
      <c r="A57" s="74">
        <v>48</v>
      </c>
      <c r="E57" s="206"/>
      <c r="F57" s="51">
        <v>40</v>
      </c>
      <c r="G57" s="8">
        <f t="shared" si="10"/>
        <v>42</v>
      </c>
      <c r="H57" s="8">
        <f t="shared" si="11"/>
        <v>50</v>
      </c>
      <c r="I57" s="8">
        <f t="shared" si="11"/>
        <v>58</v>
      </c>
      <c r="J57" s="8">
        <f t="shared" si="12"/>
        <v>68</v>
      </c>
      <c r="K57" s="8">
        <f t="shared" si="12"/>
        <v>80</v>
      </c>
      <c r="L57" s="50">
        <f t="shared" si="12"/>
        <v>100</v>
      </c>
      <c r="N57" s="74">
        <v>28</v>
      </c>
      <c r="S57" s="89">
        <v>110</v>
      </c>
      <c r="X57" s="51">
        <v>90</v>
      </c>
      <c r="Y57" s="8">
        <f t="shared" si="7"/>
        <v>90</v>
      </c>
      <c r="Z57" s="8">
        <v>10</v>
      </c>
      <c r="AA57" s="8">
        <v>10</v>
      </c>
      <c r="AB57" s="8">
        <v>7</v>
      </c>
      <c r="AC57" s="8">
        <v>17</v>
      </c>
      <c r="AD57" s="8">
        <f t="shared" si="8"/>
        <v>17000</v>
      </c>
      <c r="AE57" s="50">
        <v>13.3</v>
      </c>
    </row>
    <row r="58" spans="1:31" ht="19.5" thickBot="1" x14ac:dyDescent="0.45">
      <c r="A58" s="74">
        <v>50</v>
      </c>
      <c r="E58" s="206"/>
      <c r="F58" s="51">
        <v>42</v>
      </c>
      <c r="G58" s="8">
        <f t="shared" si="10"/>
        <v>45</v>
      </c>
      <c r="H58" s="8">
        <f t="shared" si="11"/>
        <v>52</v>
      </c>
      <c r="I58" s="8">
        <f t="shared" si="11"/>
        <v>60</v>
      </c>
      <c r="J58" s="8">
        <f t="shared" si="12"/>
        <v>70</v>
      </c>
      <c r="K58" s="8">
        <f t="shared" si="12"/>
        <v>85</v>
      </c>
      <c r="L58" s="50">
        <f t="shared" si="12"/>
        <v>105</v>
      </c>
      <c r="N58" s="74">
        <f>N57+2</f>
        <v>30</v>
      </c>
      <c r="S58" s="89">
        <v>125</v>
      </c>
      <c r="X58" s="51">
        <v>90</v>
      </c>
      <c r="Y58" s="8">
        <f t="shared" si="7"/>
        <v>90</v>
      </c>
      <c r="Z58" s="8">
        <v>13</v>
      </c>
      <c r="AA58" s="8">
        <v>10</v>
      </c>
      <c r="AB58" s="8">
        <v>7</v>
      </c>
      <c r="AC58" s="8">
        <v>21.71</v>
      </c>
      <c r="AD58" s="8">
        <f t="shared" si="8"/>
        <v>21710</v>
      </c>
      <c r="AE58" s="50">
        <v>17</v>
      </c>
    </row>
    <row r="59" spans="1:31" ht="19.5" thickBot="1" x14ac:dyDescent="0.45">
      <c r="A59" s="74">
        <v>55</v>
      </c>
      <c r="E59" s="206"/>
      <c r="F59" s="51">
        <v>45</v>
      </c>
      <c r="G59" s="8">
        <f t="shared" ref="G59:G60" si="13">F60</f>
        <v>48</v>
      </c>
      <c r="H59" s="8">
        <f t="shared" si="11"/>
        <v>55</v>
      </c>
      <c r="I59" s="8">
        <f t="shared" si="11"/>
        <v>62</v>
      </c>
      <c r="J59" s="8">
        <f t="shared" si="12"/>
        <v>72</v>
      </c>
      <c r="K59" s="8">
        <f t="shared" si="12"/>
        <v>90</v>
      </c>
      <c r="L59" s="50">
        <f t="shared" si="12"/>
        <v>110</v>
      </c>
      <c r="N59" s="74">
        <f>N58+2</f>
        <v>32</v>
      </c>
      <c r="S59" s="89">
        <v>140</v>
      </c>
      <c r="X59" s="51">
        <v>100</v>
      </c>
      <c r="Y59" s="8">
        <f t="shared" si="7"/>
        <v>100</v>
      </c>
      <c r="Z59" s="8">
        <v>7</v>
      </c>
      <c r="AA59" s="8">
        <v>10</v>
      </c>
      <c r="AB59" s="8">
        <v>5</v>
      </c>
      <c r="AC59" s="8">
        <v>13.62</v>
      </c>
      <c r="AD59" s="8">
        <f t="shared" si="8"/>
        <v>13620</v>
      </c>
      <c r="AE59" s="50">
        <v>10.7</v>
      </c>
    </row>
    <row r="60" spans="1:31" ht="19.5" thickBot="1" x14ac:dyDescent="0.45">
      <c r="A60" s="74">
        <v>56</v>
      </c>
      <c r="E60" s="206"/>
      <c r="F60" s="51">
        <v>48</v>
      </c>
      <c r="G60" s="8">
        <f t="shared" si="13"/>
        <v>50</v>
      </c>
      <c r="H60" s="8">
        <f t="shared" si="11"/>
        <v>58</v>
      </c>
      <c r="I60" s="8">
        <f t="shared" si="11"/>
        <v>65</v>
      </c>
      <c r="J60" s="8">
        <f t="shared" si="12"/>
        <v>75</v>
      </c>
      <c r="K60" s="8">
        <f t="shared" si="12"/>
        <v>95</v>
      </c>
      <c r="L60" s="50">
        <f t="shared" si="12"/>
        <v>115</v>
      </c>
      <c r="N60" s="74">
        <v>35</v>
      </c>
      <c r="S60" s="89">
        <v>160</v>
      </c>
      <c r="X60" s="51">
        <v>100</v>
      </c>
      <c r="Y60" s="8">
        <f t="shared" si="7"/>
        <v>100</v>
      </c>
      <c r="Z60" s="8">
        <v>10</v>
      </c>
      <c r="AA60" s="8">
        <v>10</v>
      </c>
      <c r="AB60" s="8">
        <v>7</v>
      </c>
      <c r="AC60" s="8">
        <v>19</v>
      </c>
      <c r="AD60" s="8">
        <f t="shared" si="8"/>
        <v>19000</v>
      </c>
      <c r="AE60" s="50">
        <v>14.9</v>
      </c>
    </row>
    <row r="61" spans="1:31" ht="19.5" thickBot="1" x14ac:dyDescent="0.45">
      <c r="A61" s="74">
        <v>60</v>
      </c>
      <c r="E61" s="206"/>
      <c r="F61" s="51">
        <v>50</v>
      </c>
      <c r="G61" s="8">
        <v>52</v>
      </c>
      <c r="H61" s="8">
        <f t="shared" si="11"/>
        <v>60</v>
      </c>
      <c r="I61" s="8">
        <f t="shared" si="11"/>
        <v>68</v>
      </c>
      <c r="J61" s="8">
        <f t="shared" si="12"/>
        <v>80</v>
      </c>
      <c r="K61" s="8">
        <f t="shared" si="12"/>
        <v>100</v>
      </c>
      <c r="L61" s="50">
        <f t="shared" si="12"/>
        <v>120</v>
      </c>
      <c r="N61" s="74">
        <v>36</v>
      </c>
      <c r="S61" s="89">
        <v>180</v>
      </c>
      <c r="X61" s="51">
        <v>100</v>
      </c>
      <c r="Y61" s="8">
        <f t="shared" si="7"/>
        <v>100</v>
      </c>
      <c r="Z61" s="8">
        <v>13</v>
      </c>
      <c r="AA61" s="8">
        <v>10</v>
      </c>
      <c r="AB61" s="8">
        <v>7</v>
      </c>
      <c r="AC61" s="8">
        <v>24.31</v>
      </c>
      <c r="AD61" s="8">
        <f t="shared" si="8"/>
        <v>24310</v>
      </c>
      <c r="AE61" s="50">
        <v>19.100000000000001</v>
      </c>
    </row>
    <row r="62" spans="1:31" ht="19.5" thickBot="1" x14ac:dyDescent="0.45">
      <c r="A62" s="74">
        <v>64</v>
      </c>
      <c r="E62" s="206"/>
      <c r="F62" s="115"/>
      <c r="G62" s="8">
        <v>55</v>
      </c>
      <c r="H62" s="8">
        <v>62</v>
      </c>
      <c r="I62" s="8">
        <f t="shared" ref="I62" si="14">H65</f>
        <v>70</v>
      </c>
      <c r="J62" s="8">
        <f t="shared" si="12"/>
        <v>85</v>
      </c>
      <c r="K62" s="8">
        <f t="shared" si="12"/>
        <v>105</v>
      </c>
      <c r="L62" s="50">
        <f t="shared" si="12"/>
        <v>125</v>
      </c>
      <c r="N62" s="74">
        <v>38</v>
      </c>
      <c r="S62" s="89">
        <v>200</v>
      </c>
      <c r="X62" s="51">
        <v>120</v>
      </c>
      <c r="Y62" s="8">
        <f t="shared" si="7"/>
        <v>120</v>
      </c>
      <c r="Z62" s="8">
        <v>8</v>
      </c>
      <c r="AA62" s="8">
        <v>12</v>
      </c>
      <c r="AB62" s="8">
        <v>5</v>
      </c>
      <c r="AC62" s="8">
        <v>18.760000000000002</v>
      </c>
      <c r="AD62" s="8">
        <f t="shared" si="8"/>
        <v>18760</v>
      </c>
      <c r="AE62" s="50">
        <v>14.7</v>
      </c>
    </row>
    <row r="63" spans="1:31" ht="19.5" thickBot="1" x14ac:dyDescent="0.45">
      <c r="A63" s="74">
        <v>65</v>
      </c>
      <c r="E63" s="206"/>
      <c r="F63" s="115"/>
      <c r="G63" s="8">
        <v>58</v>
      </c>
      <c r="H63" s="8">
        <v>65</v>
      </c>
      <c r="I63" s="8">
        <f t="shared" ref="I63" si="15">H66</f>
        <v>72</v>
      </c>
      <c r="J63" s="8">
        <f t="shared" si="12"/>
        <v>90</v>
      </c>
      <c r="K63" s="8">
        <f t="shared" si="12"/>
        <v>110</v>
      </c>
      <c r="L63" s="50">
        <f t="shared" si="12"/>
        <v>130</v>
      </c>
      <c r="N63" s="74">
        <v>40</v>
      </c>
      <c r="S63" s="89">
        <v>220</v>
      </c>
      <c r="X63" s="51">
        <v>130</v>
      </c>
      <c r="Y63" s="8">
        <f t="shared" si="7"/>
        <v>130</v>
      </c>
      <c r="Z63" s="8">
        <v>9</v>
      </c>
      <c r="AA63" s="8">
        <v>12</v>
      </c>
      <c r="AB63" s="8">
        <v>6</v>
      </c>
      <c r="AC63" s="8">
        <v>22.74</v>
      </c>
      <c r="AD63" s="8">
        <f t="shared" si="8"/>
        <v>22740</v>
      </c>
      <c r="AE63" s="50">
        <f t="shared" si="9"/>
        <v>17.899999999999999</v>
      </c>
    </row>
    <row r="64" spans="1:31" ht="19.5" thickBot="1" x14ac:dyDescent="0.45">
      <c r="A64" s="74">
        <v>70</v>
      </c>
      <c r="E64" s="206"/>
      <c r="F64" s="115"/>
      <c r="G64" s="8">
        <v>60</v>
      </c>
      <c r="H64" s="8">
        <v>68</v>
      </c>
      <c r="I64" s="8">
        <f t="shared" ref="I64" si="16">H67</f>
        <v>75</v>
      </c>
      <c r="J64" s="8">
        <f t="shared" si="12"/>
        <v>95</v>
      </c>
      <c r="K64" s="8">
        <f t="shared" si="12"/>
        <v>115</v>
      </c>
      <c r="L64" s="50">
        <f t="shared" si="12"/>
        <v>135</v>
      </c>
      <c r="N64" s="74">
        <v>42</v>
      </c>
      <c r="S64" s="89">
        <v>250</v>
      </c>
      <c r="X64" s="51">
        <v>130</v>
      </c>
      <c r="Y64" s="8">
        <f t="shared" si="7"/>
        <v>130</v>
      </c>
      <c r="Z64" s="8">
        <v>12</v>
      </c>
      <c r="AA64" s="8">
        <v>12</v>
      </c>
      <c r="AB64" s="8">
        <v>8.5</v>
      </c>
      <c r="AC64" s="8">
        <v>29.76</v>
      </c>
      <c r="AD64" s="8">
        <f t="shared" si="8"/>
        <v>29760</v>
      </c>
      <c r="AE64" s="50">
        <v>23.4</v>
      </c>
    </row>
    <row r="65" spans="1:31" ht="19.5" thickBot="1" x14ac:dyDescent="0.45">
      <c r="A65" s="74">
        <v>75</v>
      </c>
      <c r="E65" s="206"/>
      <c r="F65" s="115"/>
      <c r="G65" s="122"/>
      <c r="H65" s="8">
        <v>70</v>
      </c>
      <c r="I65" s="8">
        <f t="shared" ref="I65" si="17">H68</f>
        <v>80</v>
      </c>
      <c r="J65" s="8">
        <f t="shared" si="12"/>
        <v>100</v>
      </c>
      <c r="K65" s="8">
        <f t="shared" si="12"/>
        <v>120</v>
      </c>
      <c r="L65" s="50">
        <f t="shared" si="12"/>
        <v>140</v>
      </c>
      <c r="N65" s="74">
        <v>45</v>
      </c>
      <c r="S65" s="89">
        <v>280</v>
      </c>
      <c r="X65" s="51">
        <v>130</v>
      </c>
      <c r="Y65" s="8">
        <f t="shared" si="7"/>
        <v>130</v>
      </c>
      <c r="Z65" s="8">
        <v>15</v>
      </c>
      <c r="AA65" s="8">
        <v>12</v>
      </c>
      <c r="AB65" s="8">
        <v>8.5</v>
      </c>
      <c r="AC65" s="8">
        <v>36.75</v>
      </c>
      <c r="AD65" s="8">
        <f t="shared" si="8"/>
        <v>36750</v>
      </c>
      <c r="AE65" s="50">
        <v>28.8</v>
      </c>
    </row>
    <row r="66" spans="1:31" ht="19.5" thickBot="1" x14ac:dyDescent="0.45">
      <c r="A66" s="74">
        <v>80</v>
      </c>
      <c r="E66" s="206"/>
      <c r="F66" s="115"/>
      <c r="G66" s="122"/>
      <c r="H66" s="8">
        <v>72</v>
      </c>
      <c r="I66" s="8">
        <v>85</v>
      </c>
      <c r="J66" s="8">
        <f t="shared" si="12"/>
        <v>105</v>
      </c>
      <c r="K66" s="8">
        <f t="shared" si="12"/>
        <v>125</v>
      </c>
      <c r="L66" s="50">
        <f t="shared" si="12"/>
        <v>145</v>
      </c>
      <c r="N66" s="74">
        <v>48</v>
      </c>
      <c r="S66" s="89">
        <v>320</v>
      </c>
      <c r="X66" s="51">
        <v>150</v>
      </c>
      <c r="Y66" s="8">
        <f t="shared" si="7"/>
        <v>150</v>
      </c>
      <c r="Z66" s="8">
        <v>12</v>
      </c>
      <c r="AA66" s="8">
        <v>14</v>
      </c>
      <c r="AB66" s="8">
        <v>7</v>
      </c>
      <c r="AC66" s="8">
        <v>74.77</v>
      </c>
      <c r="AD66" s="8">
        <f t="shared" si="8"/>
        <v>74770</v>
      </c>
      <c r="AE66" s="50">
        <v>27.3</v>
      </c>
    </row>
    <row r="67" spans="1:31" ht="19.5" thickBot="1" x14ac:dyDescent="0.45">
      <c r="A67" s="74">
        <v>85</v>
      </c>
      <c r="E67" s="206"/>
      <c r="F67" s="115"/>
      <c r="G67" s="122"/>
      <c r="H67" s="8">
        <v>75</v>
      </c>
      <c r="I67" s="8">
        <v>90</v>
      </c>
      <c r="J67" s="8">
        <f t="shared" si="12"/>
        <v>110</v>
      </c>
      <c r="K67" s="8">
        <f t="shared" si="12"/>
        <v>130</v>
      </c>
      <c r="L67" s="50">
        <f t="shared" si="12"/>
        <v>150</v>
      </c>
      <c r="N67" s="74">
        <v>50</v>
      </c>
      <c r="S67" s="89">
        <v>360</v>
      </c>
      <c r="X67" s="51">
        <v>150</v>
      </c>
      <c r="Y67" s="8">
        <f t="shared" si="7"/>
        <v>150</v>
      </c>
      <c r="Z67" s="8">
        <v>15</v>
      </c>
      <c r="AA67" s="8">
        <v>14</v>
      </c>
      <c r="AB67" s="8">
        <v>10</v>
      </c>
      <c r="AC67" s="8">
        <v>42.74</v>
      </c>
      <c r="AD67" s="8">
        <f t="shared" si="8"/>
        <v>42740</v>
      </c>
      <c r="AE67" s="50">
        <v>33.6</v>
      </c>
    </row>
    <row r="68" spans="1:31" ht="19.5" thickBot="1" x14ac:dyDescent="0.45">
      <c r="A68" s="74">
        <v>90</v>
      </c>
      <c r="E68" s="206"/>
      <c r="F68" s="115"/>
      <c r="G68" s="122"/>
      <c r="H68" s="8">
        <v>80</v>
      </c>
      <c r="I68" s="8">
        <v>95</v>
      </c>
      <c r="J68" s="8">
        <v>115</v>
      </c>
      <c r="K68" s="8">
        <v>135</v>
      </c>
      <c r="L68" s="50">
        <v>155</v>
      </c>
      <c r="N68" s="74">
        <v>55</v>
      </c>
      <c r="S68" s="90">
        <v>400</v>
      </c>
      <c r="X68" s="51">
        <v>150</v>
      </c>
      <c r="Y68" s="8">
        <f t="shared" si="7"/>
        <v>150</v>
      </c>
      <c r="Z68" s="8">
        <v>19</v>
      </c>
      <c r="AA68" s="8">
        <v>14</v>
      </c>
      <c r="AB68" s="8">
        <v>10</v>
      </c>
      <c r="AC68" s="8">
        <v>53.38</v>
      </c>
      <c r="AD68" s="8">
        <f t="shared" si="8"/>
        <v>53380</v>
      </c>
      <c r="AE68" s="50">
        <v>41.9</v>
      </c>
    </row>
    <row r="69" spans="1:31" ht="19.5" thickBot="1" x14ac:dyDescent="0.45">
      <c r="A69" s="74">
        <v>95</v>
      </c>
      <c r="E69" s="206"/>
      <c r="F69" s="115"/>
      <c r="G69" s="122"/>
      <c r="H69" s="122"/>
      <c r="I69" s="8">
        <v>100</v>
      </c>
      <c r="J69" s="8">
        <v>120</v>
      </c>
      <c r="K69" s="8">
        <v>140</v>
      </c>
      <c r="L69" s="50">
        <v>160</v>
      </c>
      <c r="N69" s="74">
        <v>60</v>
      </c>
      <c r="X69" s="51">
        <v>175</v>
      </c>
      <c r="Y69" s="8">
        <f t="shared" si="7"/>
        <v>175</v>
      </c>
      <c r="Z69" s="8">
        <v>12</v>
      </c>
      <c r="AA69" s="8">
        <v>15</v>
      </c>
      <c r="AB69" s="8">
        <v>11</v>
      </c>
      <c r="AC69" s="8">
        <v>40.520000000000003</v>
      </c>
      <c r="AD69" s="8">
        <f t="shared" si="8"/>
        <v>40520</v>
      </c>
      <c r="AE69" s="50">
        <v>31.8</v>
      </c>
    </row>
    <row r="70" spans="1:31" ht="19.5" thickBot="1" x14ac:dyDescent="0.45">
      <c r="A70" s="74">
        <v>100</v>
      </c>
      <c r="E70" s="206"/>
      <c r="F70" s="115"/>
      <c r="G70" s="122"/>
      <c r="H70" s="122"/>
      <c r="I70" s="8">
        <v>105</v>
      </c>
      <c r="J70" s="8">
        <v>125</v>
      </c>
      <c r="K70" s="8">
        <v>145</v>
      </c>
      <c r="L70" s="50">
        <v>165</v>
      </c>
      <c r="N70" s="74">
        <v>65</v>
      </c>
      <c r="X70" s="51">
        <v>175</v>
      </c>
      <c r="Y70" s="8">
        <f t="shared" si="7"/>
        <v>175</v>
      </c>
      <c r="Z70" s="8">
        <v>15</v>
      </c>
      <c r="AA70" s="8">
        <v>15</v>
      </c>
      <c r="AB70" s="8">
        <v>11</v>
      </c>
      <c r="AC70" s="8">
        <v>50.21</v>
      </c>
      <c r="AD70" s="8">
        <f t="shared" si="8"/>
        <v>50210</v>
      </c>
      <c r="AE70" s="50">
        <v>39.4</v>
      </c>
    </row>
    <row r="71" spans="1:31" ht="19.5" thickBot="1" x14ac:dyDescent="0.45">
      <c r="A71" s="74">
        <v>110</v>
      </c>
      <c r="E71" s="206"/>
      <c r="F71" s="115"/>
      <c r="G71" s="122"/>
      <c r="H71" s="122"/>
      <c r="I71" s="8">
        <v>110</v>
      </c>
      <c r="J71" s="8">
        <v>130</v>
      </c>
      <c r="K71" s="8">
        <v>150</v>
      </c>
      <c r="L71" s="50">
        <v>170</v>
      </c>
      <c r="N71" s="74">
        <v>70</v>
      </c>
      <c r="X71" s="51">
        <v>200</v>
      </c>
      <c r="Y71" s="8">
        <f t="shared" si="7"/>
        <v>200</v>
      </c>
      <c r="Z71" s="8">
        <v>15</v>
      </c>
      <c r="AA71" s="8">
        <v>17</v>
      </c>
      <c r="AB71" s="8">
        <v>12</v>
      </c>
      <c r="AC71" s="8">
        <v>57.75</v>
      </c>
      <c r="AD71" s="8">
        <f t="shared" si="8"/>
        <v>57750</v>
      </c>
      <c r="AE71" s="50">
        <v>45.3</v>
      </c>
    </row>
    <row r="72" spans="1:31" ht="19.5" thickBot="1" x14ac:dyDescent="0.45">
      <c r="A72" s="74">
        <v>120</v>
      </c>
      <c r="E72" s="206"/>
      <c r="F72" s="115"/>
      <c r="G72" s="122"/>
      <c r="H72" s="122"/>
      <c r="I72" s="122"/>
      <c r="J72" s="122"/>
      <c r="K72" s="122"/>
      <c r="L72" s="50">
        <v>175</v>
      </c>
      <c r="N72" s="74">
        <v>75</v>
      </c>
      <c r="X72" s="51">
        <v>200</v>
      </c>
      <c r="Y72" s="8">
        <f t="shared" si="7"/>
        <v>200</v>
      </c>
      <c r="Z72" s="8">
        <v>20</v>
      </c>
      <c r="AA72" s="8">
        <v>17</v>
      </c>
      <c r="AB72" s="8">
        <v>12</v>
      </c>
      <c r="AC72" s="8">
        <v>76</v>
      </c>
      <c r="AD72" s="8">
        <f t="shared" si="8"/>
        <v>76000</v>
      </c>
      <c r="AE72" s="50">
        <v>59.7</v>
      </c>
    </row>
    <row r="73" spans="1:31" ht="19.5" thickBot="1" x14ac:dyDescent="0.45">
      <c r="A73" s="74">
        <v>130</v>
      </c>
      <c r="E73" s="206"/>
      <c r="F73" s="120"/>
      <c r="G73" s="123"/>
      <c r="H73" s="123"/>
      <c r="I73" s="123"/>
      <c r="J73" s="123"/>
      <c r="K73" s="123"/>
      <c r="L73" s="54">
        <v>180</v>
      </c>
      <c r="N73" s="74">
        <v>80</v>
      </c>
      <c r="X73" s="51">
        <v>200</v>
      </c>
      <c r="Y73" s="8">
        <f t="shared" si="7"/>
        <v>200</v>
      </c>
      <c r="Z73" s="8">
        <v>25</v>
      </c>
      <c r="AA73" s="8">
        <v>17</v>
      </c>
      <c r="AB73" s="8">
        <v>12</v>
      </c>
      <c r="AC73" s="8">
        <v>93.75</v>
      </c>
      <c r="AD73" s="8">
        <f t="shared" si="8"/>
        <v>93750</v>
      </c>
      <c r="AE73" s="50">
        <v>73.599999999999994</v>
      </c>
    </row>
    <row r="74" spans="1:31" x14ac:dyDescent="0.4">
      <c r="A74" s="74">
        <v>140</v>
      </c>
      <c r="N74" s="74">
        <v>85</v>
      </c>
      <c r="X74" s="51">
        <v>250</v>
      </c>
      <c r="Y74" s="8">
        <f t="shared" si="7"/>
        <v>250</v>
      </c>
      <c r="Z74" s="8">
        <v>25</v>
      </c>
      <c r="AA74" s="8">
        <v>24</v>
      </c>
      <c r="AB74" s="8">
        <v>12</v>
      </c>
      <c r="AC74" s="8">
        <v>119.4</v>
      </c>
      <c r="AD74" s="8">
        <f t="shared" si="8"/>
        <v>119400</v>
      </c>
      <c r="AE74" s="50">
        <v>93.7</v>
      </c>
    </row>
    <row r="75" spans="1:31" ht="19.5" thickBot="1" x14ac:dyDescent="0.45">
      <c r="A75" s="74">
        <v>150</v>
      </c>
      <c r="N75" s="74">
        <v>90</v>
      </c>
      <c r="X75" s="52">
        <v>250</v>
      </c>
      <c r="Y75" s="53">
        <f t="shared" si="7"/>
        <v>250</v>
      </c>
      <c r="Z75" s="53">
        <v>35</v>
      </c>
      <c r="AA75" s="53">
        <v>24</v>
      </c>
      <c r="AB75" s="53">
        <v>18</v>
      </c>
      <c r="AC75" s="53">
        <v>162.6</v>
      </c>
      <c r="AD75" s="53">
        <f t="shared" si="8"/>
        <v>162600</v>
      </c>
      <c r="AE75" s="54">
        <v>128</v>
      </c>
    </row>
    <row r="76" spans="1:31" x14ac:dyDescent="0.4">
      <c r="A76" s="74">
        <v>160</v>
      </c>
      <c r="N76" s="74">
        <v>95</v>
      </c>
    </row>
    <row r="77" spans="1:31" ht="19.5" thickBot="1" x14ac:dyDescent="0.45">
      <c r="A77" s="74">
        <v>180</v>
      </c>
      <c r="N77" s="75">
        <v>100</v>
      </c>
    </row>
    <row r="78" spans="1:31" ht="19.5" thickBot="1" x14ac:dyDescent="0.45">
      <c r="A78" s="75">
        <v>200</v>
      </c>
    </row>
    <row r="80" spans="1:31" ht="19.5" thickBot="1" x14ac:dyDescent="0.45">
      <c r="A80">
        <v>8.8000000000000007</v>
      </c>
      <c r="O80">
        <v>9.3000000000000007</v>
      </c>
    </row>
    <row r="81" spans="1:24" ht="19.5" thickBot="1" x14ac:dyDescent="0.45">
      <c r="A81" s="79" t="s">
        <v>738</v>
      </c>
      <c r="B81" s="80" t="s">
        <v>446</v>
      </c>
      <c r="C81" s="80" t="s">
        <v>9</v>
      </c>
      <c r="D81" s="80" t="s">
        <v>313</v>
      </c>
      <c r="E81" s="80" t="s">
        <v>108</v>
      </c>
      <c r="F81" s="80" t="s">
        <v>17</v>
      </c>
      <c r="G81" s="80" t="s">
        <v>451</v>
      </c>
      <c r="H81" s="80" t="s">
        <v>453</v>
      </c>
      <c r="I81" s="80" t="s">
        <v>325</v>
      </c>
      <c r="J81" s="80" t="s">
        <v>68</v>
      </c>
      <c r="K81" s="80" t="s">
        <v>458</v>
      </c>
      <c r="L81" s="112" t="s">
        <v>461</v>
      </c>
      <c r="O81" s="79" t="s">
        <v>778</v>
      </c>
      <c r="P81" s="80" t="s">
        <v>502</v>
      </c>
      <c r="Q81" s="80" t="s">
        <v>22</v>
      </c>
      <c r="R81" s="80" t="s">
        <v>507</v>
      </c>
      <c r="S81" s="80" t="s">
        <v>510</v>
      </c>
      <c r="T81" s="80" t="s">
        <v>512</v>
      </c>
      <c r="U81" s="80" t="s">
        <v>511</v>
      </c>
      <c r="V81" s="80" t="s">
        <v>514</v>
      </c>
      <c r="W81" s="80" t="s">
        <v>516</v>
      </c>
      <c r="X81" s="81" t="s">
        <v>295</v>
      </c>
    </row>
    <row r="82" spans="1:24" x14ac:dyDescent="0.4">
      <c r="A82" s="60">
        <v>35</v>
      </c>
      <c r="B82" s="56">
        <v>26.5</v>
      </c>
      <c r="C82" s="56">
        <v>28</v>
      </c>
      <c r="D82" s="56">
        <v>68</v>
      </c>
      <c r="E82" s="56">
        <v>40</v>
      </c>
      <c r="F82" s="56">
        <v>10.5</v>
      </c>
      <c r="G82" s="56">
        <v>8</v>
      </c>
      <c r="H82" s="56">
        <v>12</v>
      </c>
      <c r="I82" s="56">
        <v>6</v>
      </c>
      <c r="J82" s="56">
        <v>6.8</v>
      </c>
      <c r="K82" s="56">
        <v>10</v>
      </c>
      <c r="L82" s="57">
        <v>18</v>
      </c>
      <c r="O82" s="60">
        <v>30</v>
      </c>
      <c r="P82" s="56">
        <v>65</v>
      </c>
      <c r="Q82" s="56">
        <v>60</v>
      </c>
      <c r="R82" s="56">
        <v>20</v>
      </c>
      <c r="S82" s="56">
        <v>155</v>
      </c>
      <c r="T82" s="56">
        <v>35</v>
      </c>
      <c r="U82" s="56">
        <v>20</v>
      </c>
      <c r="V82" s="56">
        <v>120</v>
      </c>
      <c r="W82" s="56">
        <v>14</v>
      </c>
      <c r="X82" s="57" t="s">
        <v>697</v>
      </c>
    </row>
    <row r="83" spans="1:24" x14ac:dyDescent="0.4">
      <c r="A83" s="51">
        <v>40</v>
      </c>
      <c r="B83" s="8">
        <v>29</v>
      </c>
      <c r="C83" s="8">
        <f>C82</f>
        <v>28</v>
      </c>
      <c r="D83" s="8">
        <f t="shared" ref="D83:L83" si="18">D82</f>
        <v>68</v>
      </c>
      <c r="E83" s="8">
        <f t="shared" si="18"/>
        <v>40</v>
      </c>
      <c r="F83" s="8">
        <f t="shared" si="18"/>
        <v>10.5</v>
      </c>
      <c r="G83" s="8">
        <f t="shared" si="18"/>
        <v>8</v>
      </c>
      <c r="H83" s="8">
        <f t="shared" si="18"/>
        <v>12</v>
      </c>
      <c r="I83" s="8">
        <f t="shared" si="18"/>
        <v>6</v>
      </c>
      <c r="J83" s="8">
        <f t="shared" si="18"/>
        <v>6.8</v>
      </c>
      <c r="K83" s="8">
        <f t="shared" si="18"/>
        <v>10</v>
      </c>
      <c r="L83" s="50">
        <f t="shared" si="18"/>
        <v>18</v>
      </c>
      <c r="O83" s="51">
        <v>40</v>
      </c>
      <c r="P83" s="8">
        <v>80</v>
      </c>
      <c r="Q83" s="8">
        <v>70</v>
      </c>
      <c r="R83" s="8">
        <v>20</v>
      </c>
      <c r="S83" s="8">
        <v>180</v>
      </c>
      <c r="T83" s="8">
        <v>40</v>
      </c>
      <c r="U83" s="8">
        <v>25</v>
      </c>
      <c r="V83" s="8">
        <v>140</v>
      </c>
      <c r="W83" s="8">
        <v>18</v>
      </c>
      <c r="X83" s="50" t="s">
        <v>698</v>
      </c>
    </row>
    <row r="84" spans="1:24" x14ac:dyDescent="0.4">
      <c r="A84" s="51">
        <v>45</v>
      </c>
      <c r="B84" s="8">
        <v>34.5</v>
      </c>
      <c r="C84" s="8">
        <v>38</v>
      </c>
      <c r="D84" s="8">
        <v>88</v>
      </c>
      <c r="E84" s="8">
        <v>50</v>
      </c>
      <c r="F84" s="8">
        <v>13</v>
      </c>
      <c r="G84" s="8">
        <v>8</v>
      </c>
      <c r="H84" s="8">
        <v>12</v>
      </c>
      <c r="I84" s="8">
        <v>8</v>
      </c>
      <c r="J84" s="8">
        <v>6.8</v>
      </c>
      <c r="K84" s="8">
        <v>12</v>
      </c>
      <c r="L84" s="50">
        <v>22</v>
      </c>
      <c r="O84" s="51">
        <v>50</v>
      </c>
      <c r="P84" s="8">
        <v>90</v>
      </c>
      <c r="Q84" s="8">
        <v>80</v>
      </c>
      <c r="R84" s="8">
        <v>20</v>
      </c>
      <c r="S84" s="8">
        <v>210</v>
      </c>
      <c r="T84" s="8">
        <v>50</v>
      </c>
      <c r="U84" s="8">
        <v>30</v>
      </c>
      <c r="V84" s="8">
        <v>160</v>
      </c>
      <c r="W84" s="8">
        <v>21</v>
      </c>
      <c r="X84" s="50" t="s">
        <v>699</v>
      </c>
    </row>
    <row r="85" spans="1:24" x14ac:dyDescent="0.4">
      <c r="A85" s="51">
        <v>50</v>
      </c>
      <c r="B85" s="8">
        <v>37</v>
      </c>
      <c r="C85" s="8">
        <f t="shared" ref="C85:L85" si="19">C84</f>
        <v>38</v>
      </c>
      <c r="D85" s="8">
        <f t="shared" si="19"/>
        <v>88</v>
      </c>
      <c r="E85" s="8">
        <f t="shared" si="19"/>
        <v>50</v>
      </c>
      <c r="F85" s="8">
        <f t="shared" si="19"/>
        <v>13</v>
      </c>
      <c r="G85" s="8">
        <f t="shared" si="19"/>
        <v>8</v>
      </c>
      <c r="H85" s="8">
        <f t="shared" si="19"/>
        <v>12</v>
      </c>
      <c r="I85" s="8">
        <f t="shared" si="19"/>
        <v>8</v>
      </c>
      <c r="J85" s="8">
        <f t="shared" si="19"/>
        <v>6.8</v>
      </c>
      <c r="K85" s="8">
        <f t="shared" si="19"/>
        <v>12</v>
      </c>
      <c r="L85" s="50">
        <f t="shared" si="19"/>
        <v>22</v>
      </c>
      <c r="O85" s="51">
        <v>60</v>
      </c>
      <c r="P85" s="8">
        <v>110</v>
      </c>
      <c r="Q85" s="8">
        <v>90</v>
      </c>
      <c r="R85" s="8">
        <v>25</v>
      </c>
      <c r="S85" s="8">
        <v>240</v>
      </c>
      <c r="T85" s="8">
        <v>55</v>
      </c>
      <c r="U85" s="8">
        <v>30</v>
      </c>
      <c r="V85" s="8">
        <v>190</v>
      </c>
      <c r="W85" s="8">
        <v>21</v>
      </c>
      <c r="X85" s="50" t="s">
        <v>699</v>
      </c>
    </row>
    <row r="86" spans="1:24" ht="19.5" thickBot="1" x14ac:dyDescent="0.45">
      <c r="A86" s="51">
        <v>55</v>
      </c>
      <c r="B86" s="8">
        <v>37.5</v>
      </c>
      <c r="C86" s="8">
        <v>38</v>
      </c>
      <c r="D86" s="8">
        <v>98</v>
      </c>
      <c r="E86" s="8">
        <v>60</v>
      </c>
      <c r="F86" s="8">
        <v>17</v>
      </c>
      <c r="G86" s="8">
        <v>10</v>
      </c>
      <c r="H86" s="8">
        <v>12</v>
      </c>
      <c r="I86" s="8">
        <v>10</v>
      </c>
      <c r="J86" s="8">
        <v>8.8000000000000007</v>
      </c>
      <c r="K86" s="8">
        <v>16</v>
      </c>
      <c r="L86" s="50">
        <v>28</v>
      </c>
      <c r="O86" s="52">
        <v>70</v>
      </c>
      <c r="P86" s="53">
        <v>130</v>
      </c>
      <c r="Q86" s="53">
        <v>100</v>
      </c>
      <c r="R86" s="53">
        <v>25</v>
      </c>
      <c r="S86" s="53">
        <v>275</v>
      </c>
      <c r="T86" s="53">
        <v>55</v>
      </c>
      <c r="U86" s="53">
        <v>35</v>
      </c>
      <c r="V86" s="53">
        <v>220</v>
      </c>
      <c r="W86" s="53">
        <v>24</v>
      </c>
      <c r="X86" s="54" t="s">
        <v>726</v>
      </c>
    </row>
    <row r="87" spans="1:24" x14ac:dyDescent="0.4">
      <c r="A87" s="51">
        <v>60</v>
      </c>
      <c r="B87" s="8">
        <v>40</v>
      </c>
      <c r="C87" s="8">
        <f t="shared" ref="C87:L87" si="20">C86</f>
        <v>38</v>
      </c>
      <c r="D87" s="8">
        <f t="shared" si="20"/>
        <v>98</v>
      </c>
      <c r="E87" s="8">
        <f t="shared" si="20"/>
        <v>60</v>
      </c>
      <c r="F87" s="8">
        <f t="shared" si="20"/>
        <v>17</v>
      </c>
      <c r="G87" s="8">
        <f t="shared" si="20"/>
        <v>10</v>
      </c>
      <c r="H87" s="8">
        <f t="shared" si="20"/>
        <v>12</v>
      </c>
      <c r="I87" s="8">
        <f t="shared" si="20"/>
        <v>10</v>
      </c>
      <c r="J87" s="8">
        <f t="shared" si="20"/>
        <v>8.8000000000000007</v>
      </c>
      <c r="K87" s="8">
        <f t="shared" si="20"/>
        <v>16</v>
      </c>
      <c r="L87" s="50">
        <f t="shared" si="20"/>
        <v>28</v>
      </c>
    </row>
    <row r="88" spans="1:24" x14ac:dyDescent="0.4">
      <c r="A88" s="51">
        <v>65</v>
      </c>
      <c r="B88" s="8">
        <v>40.5</v>
      </c>
      <c r="C88" s="8">
        <v>38</v>
      </c>
      <c r="D88" s="8">
        <v>115</v>
      </c>
      <c r="E88" s="8">
        <v>80</v>
      </c>
      <c r="F88" s="8">
        <v>17</v>
      </c>
      <c r="G88" s="8">
        <v>12</v>
      </c>
      <c r="H88" s="8">
        <v>15</v>
      </c>
      <c r="I88" s="8">
        <v>12</v>
      </c>
      <c r="J88" s="8">
        <v>11.2</v>
      </c>
      <c r="K88" s="8">
        <v>16</v>
      </c>
      <c r="L88" s="50">
        <v>28</v>
      </c>
    </row>
    <row r="89" spans="1:24" ht="19.5" thickBot="1" x14ac:dyDescent="0.45">
      <c r="A89" s="52">
        <v>70</v>
      </c>
      <c r="B89" s="53">
        <v>43</v>
      </c>
      <c r="C89" s="53">
        <f t="shared" ref="C89:L89" si="21">C88</f>
        <v>38</v>
      </c>
      <c r="D89" s="53">
        <f t="shared" si="21"/>
        <v>115</v>
      </c>
      <c r="E89" s="53">
        <f t="shared" si="21"/>
        <v>80</v>
      </c>
      <c r="F89" s="53">
        <f t="shared" si="21"/>
        <v>17</v>
      </c>
      <c r="G89" s="53">
        <f t="shared" si="21"/>
        <v>12</v>
      </c>
      <c r="H89" s="53">
        <f t="shared" si="21"/>
        <v>15</v>
      </c>
      <c r="I89" s="53">
        <f t="shared" si="21"/>
        <v>12</v>
      </c>
      <c r="J89" s="53">
        <f t="shared" si="21"/>
        <v>11.2</v>
      </c>
      <c r="K89" s="53">
        <f t="shared" si="21"/>
        <v>16</v>
      </c>
      <c r="L89" s="54">
        <f t="shared" si="21"/>
        <v>28</v>
      </c>
    </row>
    <row r="91" spans="1:24" ht="19.5" thickBot="1" x14ac:dyDescent="0.45">
      <c r="A91">
        <v>5.6</v>
      </c>
    </row>
    <row r="92" spans="1:24" ht="19.5" thickBot="1" x14ac:dyDescent="0.45">
      <c r="A92" s="77" t="s">
        <v>761</v>
      </c>
    </row>
    <row r="93" spans="1:24" x14ac:dyDescent="0.4">
      <c r="A93" s="73">
        <v>0.1</v>
      </c>
    </row>
    <row r="94" spans="1:24" x14ac:dyDescent="0.4">
      <c r="A94" s="74">
        <v>0.15</v>
      </c>
    </row>
    <row r="95" spans="1:24" x14ac:dyDescent="0.4">
      <c r="A95" s="74">
        <v>0.2</v>
      </c>
    </row>
    <row r="96" spans="1:24" x14ac:dyDescent="0.4">
      <c r="A96" s="74">
        <v>0.25</v>
      </c>
    </row>
    <row r="97" spans="1:1" x14ac:dyDescent="0.4">
      <c r="A97" s="74">
        <v>0.3</v>
      </c>
    </row>
    <row r="98" spans="1:1" x14ac:dyDescent="0.4">
      <c r="A98" s="74">
        <v>0.35</v>
      </c>
    </row>
    <row r="99" spans="1:1" x14ac:dyDescent="0.4">
      <c r="A99" s="74">
        <v>0.4</v>
      </c>
    </row>
    <row r="100" spans="1:1" x14ac:dyDescent="0.4">
      <c r="A100" s="74">
        <v>0.45</v>
      </c>
    </row>
    <row r="101" spans="1:1" x14ac:dyDescent="0.4">
      <c r="A101" s="74">
        <v>0.5</v>
      </c>
    </row>
    <row r="102" spans="1:1" x14ac:dyDescent="0.4">
      <c r="A102" s="74">
        <v>0.55000000000000004</v>
      </c>
    </row>
    <row r="103" spans="1:1" x14ac:dyDescent="0.4">
      <c r="A103" s="74">
        <v>0.6</v>
      </c>
    </row>
    <row r="104" spans="1:1" x14ac:dyDescent="0.4">
      <c r="A104" s="74">
        <v>0.7</v>
      </c>
    </row>
    <row r="105" spans="1:1" x14ac:dyDescent="0.4">
      <c r="A105" s="74">
        <v>0.75</v>
      </c>
    </row>
    <row r="106" spans="1:1" x14ac:dyDescent="0.4">
      <c r="A106" s="74">
        <v>0.8</v>
      </c>
    </row>
    <row r="107" spans="1:1" x14ac:dyDescent="0.4">
      <c r="A107" s="74">
        <v>0.9</v>
      </c>
    </row>
    <row r="108" spans="1:1" x14ac:dyDescent="0.4">
      <c r="A108" s="74">
        <v>1</v>
      </c>
    </row>
    <row r="109" spans="1:1" x14ac:dyDescent="0.4">
      <c r="A109" s="74">
        <v>1.125</v>
      </c>
    </row>
    <row r="110" spans="1:1" x14ac:dyDescent="0.4">
      <c r="A110" s="74">
        <v>1.25</v>
      </c>
    </row>
    <row r="111" spans="1:1" x14ac:dyDescent="0.4">
      <c r="A111" s="74">
        <v>1.375</v>
      </c>
    </row>
    <row r="112" spans="1:1" x14ac:dyDescent="0.4">
      <c r="A112" s="74">
        <v>1.5</v>
      </c>
    </row>
    <row r="113" spans="1:1" x14ac:dyDescent="0.4">
      <c r="A113" s="74">
        <v>1.75</v>
      </c>
    </row>
    <row r="114" spans="1:1" x14ac:dyDescent="0.4">
      <c r="A114" s="74">
        <v>2</v>
      </c>
    </row>
    <row r="115" spans="1:1" x14ac:dyDescent="0.4">
      <c r="A115" s="74">
        <v>2.25</v>
      </c>
    </row>
    <row r="116" spans="1:1" x14ac:dyDescent="0.4">
      <c r="A116" s="74">
        <v>2.5</v>
      </c>
    </row>
    <row r="117" spans="1:1" x14ac:dyDescent="0.4">
      <c r="A117" s="74">
        <v>2.75</v>
      </c>
    </row>
    <row r="118" spans="1:1" x14ac:dyDescent="0.4">
      <c r="A118" s="74">
        <v>3</v>
      </c>
    </row>
    <row r="119" spans="1:1" x14ac:dyDescent="0.4">
      <c r="A119" s="74">
        <v>3.5</v>
      </c>
    </row>
    <row r="120" spans="1:1" x14ac:dyDescent="0.4">
      <c r="A120" s="74">
        <v>4</v>
      </c>
    </row>
    <row r="121" spans="1:1" x14ac:dyDescent="0.4">
      <c r="A121" s="74">
        <v>4.5</v>
      </c>
    </row>
    <row r="122" spans="1:1" x14ac:dyDescent="0.4">
      <c r="A122" s="74">
        <v>5</v>
      </c>
    </row>
    <row r="123" spans="1:1" x14ac:dyDescent="0.4">
      <c r="A123" s="74">
        <v>5.5</v>
      </c>
    </row>
    <row r="124" spans="1:1" x14ac:dyDescent="0.4">
      <c r="A124" s="74">
        <v>6</v>
      </c>
    </row>
    <row r="125" spans="1:1" x14ac:dyDescent="0.4">
      <c r="A125" s="74">
        <v>7</v>
      </c>
    </row>
    <row r="126" spans="1:1" x14ac:dyDescent="0.4">
      <c r="A126" s="74">
        <v>8</v>
      </c>
    </row>
    <row r="127" spans="1:1" x14ac:dyDescent="0.4">
      <c r="A127" s="74">
        <v>9</v>
      </c>
    </row>
    <row r="128" spans="1:1" x14ac:dyDescent="0.4">
      <c r="A128" s="74">
        <v>10</v>
      </c>
    </row>
    <row r="129" spans="1:1" x14ac:dyDescent="0.4">
      <c r="A129" s="74">
        <v>11</v>
      </c>
    </row>
    <row r="130" spans="1:1" x14ac:dyDescent="0.4">
      <c r="A130" s="74">
        <v>12</v>
      </c>
    </row>
    <row r="131" spans="1:1" x14ac:dyDescent="0.4">
      <c r="A131" s="74">
        <v>14</v>
      </c>
    </row>
    <row r="132" spans="1:1" x14ac:dyDescent="0.4">
      <c r="A132" s="74">
        <v>16</v>
      </c>
    </row>
    <row r="133" spans="1:1" x14ac:dyDescent="0.4">
      <c r="A133" s="74">
        <v>18</v>
      </c>
    </row>
    <row r="134" spans="1:1" x14ac:dyDescent="0.4">
      <c r="A134" s="74">
        <v>20</v>
      </c>
    </row>
    <row r="135" spans="1:1" x14ac:dyDescent="0.4">
      <c r="A135" s="74">
        <v>22</v>
      </c>
    </row>
    <row r="136" spans="1:1" x14ac:dyDescent="0.4">
      <c r="A136" s="74">
        <v>25</v>
      </c>
    </row>
    <row r="137" spans="1:1" x14ac:dyDescent="0.4">
      <c r="A137" s="74">
        <v>28</v>
      </c>
    </row>
    <row r="138" spans="1:1" x14ac:dyDescent="0.4">
      <c r="A138" s="74">
        <v>32</v>
      </c>
    </row>
    <row r="139" spans="1:1" x14ac:dyDescent="0.4">
      <c r="A139" s="74">
        <v>36</v>
      </c>
    </row>
    <row r="140" spans="1:1" x14ac:dyDescent="0.4">
      <c r="A140" s="74">
        <v>40</v>
      </c>
    </row>
    <row r="141" spans="1:1" x14ac:dyDescent="0.4">
      <c r="A141" s="74">
        <v>45</v>
      </c>
    </row>
    <row r="142" spans="1:1" ht="19.5" thickBot="1" x14ac:dyDescent="0.45">
      <c r="A142" s="75">
        <v>50</v>
      </c>
    </row>
  </sheetData>
  <mergeCells count="35">
    <mergeCell ref="A2:A3"/>
    <mergeCell ref="C2:C3"/>
    <mergeCell ref="B2:B3"/>
    <mergeCell ref="T7:T10"/>
    <mergeCell ref="T2:V2"/>
    <mergeCell ref="T3:V3"/>
    <mergeCell ref="T4:V4"/>
    <mergeCell ref="T5:V5"/>
    <mergeCell ref="T6:V6"/>
    <mergeCell ref="U7:U8"/>
    <mergeCell ref="U9:U10"/>
    <mergeCell ref="E42:E73"/>
    <mergeCell ref="P51:R54"/>
    <mergeCell ref="T11:V11"/>
    <mergeCell ref="T14:U14"/>
    <mergeCell ref="T15:U15"/>
    <mergeCell ref="T16:U16"/>
    <mergeCell ref="AE14:AF14"/>
    <mergeCell ref="AF16:AF17"/>
    <mergeCell ref="AF18:AF19"/>
    <mergeCell ref="AG16:AG17"/>
    <mergeCell ref="AG18:AG19"/>
    <mergeCell ref="AC14:AD15"/>
    <mergeCell ref="X34:X35"/>
    <mergeCell ref="Y34:Y35"/>
    <mergeCell ref="Z34:Z35"/>
    <mergeCell ref="AA34:AA35"/>
    <mergeCell ref="AB34:AB35"/>
    <mergeCell ref="AG22:AH22"/>
    <mergeCell ref="AI22:AJ22"/>
    <mergeCell ref="AE34:AE35"/>
    <mergeCell ref="AC34:AD34"/>
    <mergeCell ref="T17:U17"/>
    <mergeCell ref="T18:U18"/>
    <mergeCell ref="T19:U19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7699-64EF-49F1-9D5F-D04613896DE8}">
  <dimension ref="A1:BM690"/>
  <sheetViews>
    <sheetView workbookViewId="0">
      <selection activeCell="O67" sqref="O67"/>
    </sheetView>
  </sheetViews>
  <sheetFormatPr defaultRowHeight="18.75" x14ac:dyDescent="0.4"/>
  <cols>
    <col min="1" max="1" width="7" customWidth="1"/>
    <col min="2" max="2" width="9.625" customWidth="1"/>
    <col min="3" max="3" width="10" customWidth="1"/>
    <col min="4" max="4" width="6.5" customWidth="1"/>
    <col min="9" max="10" width="10.625" customWidth="1"/>
    <col min="11" max="12" width="10" customWidth="1"/>
    <col min="13" max="14" width="9" customWidth="1"/>
    <col min="16" max="17" width="9" customWidth="1"/>
    <col min="18" max="18" width="9.875" customWidth="1"/>
    <col min="25" max="25" width="9.375" bestFit="1" customWidth="1"/>
    <col min="31" max="31" width="9.375" bestFit="1" customWidth="1"/>
  </cols>
  <sheetData>
    <row r="1" spans="1:40" x14ac:dyDescent="0.4">
      <c r="A1" t="s">
        <v>779</v>
      </c>
    </row>
    <row r="2" spans="1:40" x14ac:dyDescent="0.4">
      <c r="A2" t="s">
        <v>16</v>
      </c>
      <c r="B2" t="s">
        <v>74</v>
      </c>
      <c r="H2" t="s">
        <v>12</v>
      </c>
      <c r="I2" t="str">
        <f>B2</f>
        <v>計算値</v>
      </c>
      <c r="J2" t="s">
        <v>780</v>
      </c>
      <c r="K2" t="s">
        <v>59</v>
      </c>
      <c r="L2" t="s">
        <v>59</v>
      </c>
      <c r="M2" t="s">
        <v>54</v>
      </c>
      <c r="N2" t="s">
        <v>56</v>
      </c>
      <c r="O2" t="s">
        <v>781</v>
      </c>
      <c r="Q2" t="s">
        <v>2</v>
      </c>
      <c r="R2" t="str">
        <f>I2</f>
        <v>計算値</v>
      </c>
      <c r="S2" t="str">
        <f>J2</f>
        <v>正の最小値</v>
      </c>
      <c r="T2" t="s">
        <v>59</v>
      </c>
      <c r="U2" t="s">
        <v>782</v>
      </c>
      <c r="V2" t="s">
        <v>780</v>
      </c>
      <c r="W2" t="s">
        <v>59</v>
      </c>
      <c r="X2" t="s">
        <v>783</v>
      </c>
      <c r="Z2" t="s">
        <v>784</v>
      </c>
      <c r="AA2" t="s">
        <v>780</v>
      </c>
      <c r="AB2" t="s">
        <v>785</v>
      </c>
      <c r="AC2" t="str">
        <f>AB4</f>
        <v>穴径</v>
      </c>
      <c r="AH2" t="s">
        <v>784</v>
      </c>
      <c r="AI2" t="s">
        <v>780</v>
      </c>
      <c r="AJ2" t="str">
        <f>AI4</f>
        <v>内径</v>
      </c>
      <c r="AK2" t="str">
        <f>AJ4</f>
        <v>外径
d</v>
      </c>
      <c r="AL2" t="str">
        <f>AK4</f>
        <v>呼び</v>
      </c>
      <c r="AM2" t="str">
        <f>AL4</f>
        <v>ピッチ</v>
      </c>
      <c r="AN2" t="str">
        <f>AM4</f>
        <v>e</v>
      </c>
    </row>
    <row r="3" spans="1:40" x14ac:dyDescent="0.4">
      <c r="A3">
        <f>'3章'!G4</f>
        <v>10.71</v>
      </c>
      <c r="H3">
        <f>'3章'!G2</f>
        <v>16.690000000000001</v>
      </c>
      <c r="J3">
        <f>SMALL(H5:H25,COUNTIF(H5:H25,"&lt;=0")+1)</f>
        <v>0.6039999999999992</v>
      </c>
      <c r="K3">
        <f>VLOOKUP($J$3,$H$5:$M$25,2)</f>
        <v>17.294</v>
      </c>
      <c r="L3" t="str">
        <f>VLOOKUP($J$3,$H$5:$M$25,3)</f>
        <v>M20</v>
      </c>
      <c r="M3">
        <f>VLOOKUP($J$3,$H$5:$M$25,4)</f>
        <v>21</v>
      </c>
      <c r="N3">
        <f>VLOOKUP($J$3,$H$5:$M$25,5)</f>
        <v>37</v>
      </c>
      <c r="O3">
        <f>VLOOKUP($J$3,$H$5:$M$25,6)</f>
        <v>20</v>
      </c>
      <c r="Q3">
        <f>'2章'!D2</f>
        <v>72</v>
      </c>
      <c r="S3">
        <f>SMALL(R5:R32,COUNTIF(R5:R32,"&lt;=0")+1)</f>
        <v>4.5</v>
      </c>
      <c r="T3">
        <f>VLOOKUP(S3,R5:S32,2)</f>
        <v>12</v>
      </c>
      <c r="U3">
        <f>VLOOKUP(S3,R5:T32,3)</f>
        <v>0.51700000000000002</v>
      </c>
      <c r="V3">
        <f>SMALL(U5:U30,COUNTIF(U5:U30,"&lt;=0")+1)</f>
        <v>0.5</v>
      </c>
      <c r="W3">
        <f>VLOOKUP(V3,U5:W30,3)</f>
        <v>12</v>
      </c>
      <c r="X3">
        <f>VLOOKUP(V3,U5:X30,4)</f>
        <v>86</v>
      </c>
      <c r="Z3">
        <f>ROUNDDOWN('例題7.1~7.4'!M2,0)</f>
        <v>10</v>
      </c>
      <c r="AA3">
        <f>IF(SMALL(Z5:Z11,1)&gt;0,SMALL(Z5:Z11,1),IF(SMALL(Z5:Z11,COUNTIF(Z5:Z11,"&lt;=0"))=0,SMALL(Z5:Z11,COUNTIF(Z5:Z11,"&lt;=0")),SMALL(Z5:Z11,COUNTIF(Z5:Z11,"&lt;=0")+1)))</f>
        <v>0</v>
      </c>
      <c r="AB3">
        <f>VLOOKUP(AA3,Z5:AA11,2)</f>
        <v>10</v>
      </c>
      <c r="AC3">
        <f>VLOOKUP(AA3,Z5:AB11,3)</f>
        <v>11</v>
      </c>
      <c r="AH3">
        <f>IF('例題7.5'!D10&gt;'例題7.5'!D11,'例題7.5'!D10,'例題7.5'!D11)</f>
        <v>13.48</v>
      </c>
      <c r="AI3">
        <f>IF(SMALL(AH5:AH25,COUNTIF(AH5:AH25,"&lt;=0"))=0,SMALL(AH5:AH25,COUNTIF(AH5:AH25,"&lt;=0")),SMALL(AH5:AH25,COUNTIF(AH5:AH25,"&lt;=0")+1))</f>
        <v>0.35500000000000043</v>
      </c>
      <c r="AJ3">
        <f>VLOOKUP(AI3,AH5:AI25,2)</f>
        <v>13.835000000000001</v>
      </c>
      <c r="AK3">
        <f>VLOOKUP(AI3,AH5:AJ25,3)</f>
        <v>16</v>
      </c>
      <c r="AL3" t="str">
        <f>VLOOKUP(AI3,AH5:AK25,4)</f>
        <v>M16</v>
      </c>
      <c r="AM3">
        <f>VLOOKUP(AI3,AH5:AL25,5)</f>
        <v>2</v>
      </c>
      <c r="AN3">
        <f>VLOOKUP(AI3,AH5:AM25,6)</f>
        <v>26.75</v>
      </c>
    </row>
    <row r="4" spans="1:40" x14ac:dyDescent="0.4">
      <c r="A4" t="s">
        <v>786</v>
      </c>
      <c r="B4" t="s">
        <v>787</v>
      </c>
      <c r="C4" t="s">
        <v>780</v>
      </c>
      <c r="D4" t="s">
        <v>59</v>
      </c>
      <c r="H4" t="s">
        <v>786</v>
      </c>
      <c r="I4" s="39" t="s">
        <v>788</v>
      </c>
      <c r="J4" t="s">
        <v>789</v>
      </c>
      <c r="K4" t="s">
        <v>790</v>
      </c>
      <c r="L4" t="s">
        <v>791</v>
      </c>
      <c r="M4" t="s">
        <v>792</v>
      </c>
      <c r="Q4" t="s">
        <v>793</v>
      </c>
      <c r="R4" t="str">
        <f>H4</f>
        <v>差</v>
      </c>
      <c r="S4" t="s">
        <v>735</v>
      </c>
      <c r="T4" t="s">
        <v>39</v>
      </c>
      <c r="U4" t="s">
        <v>786</v>
      </c>
      <c r="V4" t="s">
        <v>794</v>
      </c>
      <c r="W4" t="s">
        <v>309</v>
      </c>
      <c r="X4" t="s">
        <v>4</v>
      </c>
      <c r="Z4" t="s">
        <v>786</v>
      </c>
      <c r="AA4" t="str">
        <f>教科書掲載表!E35</f>
        <v>軸径</v>
      </c>
      <c r="AB4" t="str">
        <f>教科書掲載表!E41</f>
        <v>穴径</v>
      </c>
      <c r="AH4" t="str">
        <f>Z4</f>
        <v>差</v>
      </c>
      <c r="AI4" t="str">
        <f>AC15</f>
        <v>内径</v>
      </c>
      <c r="AJ4" t="str">
        <f>AA15</f>
        <v>外径
d</v>
      </c>
      <c r="AK4" t="str">
        <f>AB15</f>
        <v>呼び</v>
      </c>
      <c r="AL4" t="s">
        <v>795</v>
      </c>
      <c r="AM4" t="s">
        <v>295</v>
      </c>
    </row>
    <row r="5" spans="1:40" x14ac:dyDescent="0.4">
      <c r="A5">
        <f t="shared" ref="A5:A36" si="0">B5-$A$3</f>
        <v>-10.610000000000001</v>
      </c>
      <c r="B5">
        <f>教科書付表!B3</f>
        <v>0.1</v>
      </c>
      <c r="C5">
        <f>SMALL(A5:A65,COUNTIF(A5:A65,"&lt;=0")+1)</f>
        <v>1.7899999999999991</v>
      </c>
      <c r="D5">
        <f>VLOOKUP(C5,A5:B65,2,FALSE)</f>
        <v>12.5</v>
      </c>
      <c r="H5">
        <f t="shared" ref="H5:H25" si="1">I5-$H$3</f>
        <v>-15.961000000000002</v>
      </c>
      <c r="I5">
        <f>教科書付表!$L$5</f>
        <v>0.72899999999999998</v>
      </c>
      <c r="J5" t="str">
        <f>教科書付表!F5</f>
        <v>M1</v>
      </c>
      <c r="K5" s="58">
        <v>1.7</v>
      </c>
      <c r="L5">
        <v>4</v>
      </c>
      <c r="M5">
        <v>1</v>
      </c>
      <c r="Q5">
        <f>教科書掲載表!B4</f>
        <v>21.1</v>
      </c>
      <c r="R5">
        <f t="shared" ref="R5:R32" si="2">Q5-$Q$3</f>
        <v>-50.9</v>
      </c>
      <c r="S5">
        <f>教科書掲載表!A4</f>
        <v>6.3</v>
      </c>
      <c r="T5">
        <f>教科書掲載表!C4</f>
        <v>0.14299999999999999</v>
      </c>
      <c r="U5">
        <f t="shared" ref="U5:U30" si="3">V5-$T$3</f>
        <v>-5.7</v>
      </c>
      <c r="V5">
        <f>教科書掲載表!P3</f>
        <v>6.3</v>
      </c>
      <c r="W5">
        <f>教科書掲載表!E3</f>
        <v>6</v>
      </c>
      <c r="X5">
        <f>教科書掲載表!I3</f>
        <v>45</v>
      </c>
      <c r="Z5">
        <f t="shared" ref="Z5:Z11" si="4">AA5-$Z$3</f>
        <v>0</v>
      </c>
      <c r="AA5">
        <f>教科書掲載表!F35</f>
        <v>10</v>
      </c>
      <c r="AB5">
        <f>教科書掲載表!F41</f>
        <v>11</v>
      </c>
      <c r="AH5">
        <f>AI5-$AH$3</f>
        <v>-12.751000000000001</v>
      </c>
      <c r="AI5">
        <f>AC16</f>
        <v>0.72899999999999998</v>
      </c>
      <c r="AJ5">
        <f>AA16</f>
        <v>1</v>
      </c>
      <c r="AK5" t="str">
        <f>AB16</f>
        <v>M1</v>
      </c>
      <c r="AL5">
        <f>AD16</f>
        <v>0.25</v>
      </c>
      <c r="AM5">
        <f>教科書付表!AC33</f>
        <v>2.887</v>
      </c>
    </row>
    <row r="6" spans="1:40" x14ac:dyDescent="0.4">
      <c r="A6">
        <f t="shared" si="0"/>
        <v>-10.585000000000001</v>
      </c>
      <c r="B6">
        <f>教科書付表!B7</f>
        <v>0.125</v>
      </c>
      <c r="H6">
        <f t="shared" si="1"/>
        <v>-15.761000000000001</v>
      </c>
      <c r="I6">
        <f>教科書付表!L7</f>
        <v>0.92900000000000005</v>
      </c>
      <c r="J6" t="str">
        <f>教科書付表!F7</f>
        <v>M1.2</v>
      </c>
      <c r="K6" s="58">
        <v>1.7</v>
      </c>
      <c r="L6">
        <v>4</v>
      </c>
      <c r="M6">
        <v>12</v>
      </c>
      <c r="Q6">
        <f>教科書掲載表!B5</f>
        <v>34</v>
      </c>
      <c r="R6">
        <f t="shared" si="2"/>
        <v>-38</v>
      </c>
      <c r="S6">
        <f>教科書掲載表!A5</f>
        <v>8</v>
      </c>
      <c r="T6">
        <f>教科書掲載表!C5</f>
        <v>0.23</v>
      </c>
      <c r="U6">
        <f t="shared" si="3"/>
        <v>-4</v>
      </c>
      <c r="V6">
        <f>教科書掲載表!P4</f>
        <v>8</v>
      </c>
      <c r="W6">
        <f>教科書掲載表!E4</f>
        <v>8</v>
      </c>
      <c r="X6">
        <f>教科書掲載表!I4</f>
        <v>59</v>
      </c>
      <c r="Z6">
        <f t="shared" si="4"/>
        <v>2</v>
      </c>
      <c r="AA6">
        <f>教科書掲載表!G35</f>
        <v>12</v>
      </c>
      <c r="AB6">
        <f>教科書掲載表!G41</f>
        <v>13</v>
      </c>
      <c r="AH6">
        <f t="shared" ref="AH6:AH25" si="5">AI6-$AH$3</f>
        <v>-12.551</v>
      </c>
      <c r="AI6">
        <f t="shared" ref="AI6:AI25" si="6">AC17</f>
        <v>0.92900000000000005</v>
      </c>
      <c r="AJ6">
        <f t="shared" ref="AJ6:AJ25" si="7">AA17</f>
        <v>12</v>
      </c>
      <c r="AK6" t="str">
        <f t="shared" ref="AK6:AK25" si="8">AB17</f>
        <v>M1.2</v>
      </c>
      <c r="AL6">
        <f t="shared" ref="AL6:AL25" si="9">AD17</f>
        <v>0.25</v>
      </c>
      <c r="AM6">
        <f>教科書付表!AD33</f>
        <v>3.464</v>
      </c>
    </row>
    <row r="7" spans="1:40" x14ac:dyDescent="0.4">
      <c r="A7">
        <f t="shared" si="0"/>
        <v>-10.55</v>
      </c>
      <c r="B7">
        <f>教科書付表!B11</f>
        <v>0.16</v>
      </c>
      <c r="H7">
        <f t="shared" si="1"/>
        <v>-15.469000000000001</v>
      </c>
      <c r="I7">
        <f>教科書付表!L9</f>
        <v>1.2210000000000001</v>
      </c>
      <c r="J7" t="str">
        <f>教科書付表!F9</f>
        <v>M1.6</v>
      </c>
      <c r="K7" s="58">
        <f>教科書付表!O5</f>
        <v>1.7</v>
      </c>
      <c r="L7">
        <f>教科書付表!P5</f>
        <v>4</v>
      </c>
      <c r="M7">
        <v>1.6</v>
      </c>
      <c r="Q7">
        <f>教科書掲載表!B6</f>
        <v>43</v>
      </c>
      <c r="R7">
        <f t="shared" si="2"/>
        <v>-29</v>
      </c>
      <c r="S7">
        <f>教科書掲載表!A6</f>
        <v>9</v>
      </c>
      <c r="T7">
        <f>教科書掲載表!C6</f>
        <v>0.29099999999999998</v>
      </c>
      <c r="U7">
        <f t="shared" si="3"/>
        <v>-3</v>
      </c>
      <c r="V7">
        <f>教科書掲載表!P5</f>
        <v>9</v>
      </c>
      <c r="W7">
        <f>教科書掲載表!E5</f>
        <v>9</v>
      </c>
      <c r="X7">
        <f>教科書掲載表!I5</f>
        <v>65</v>
      </c>
      <c r="Z7">
        <f t="shared" si="4"/>
        <v>6</v>
      </c>
      <c r="AA7">
        <f>教科書掲載表!H35</f>
        <v>16</v>
      </c>
      <c r="AB7">
        <f>教科書掲載表!H41</f>
        <v>17</v>
      </c>
      <c r="AH7">
        <f t="shared" si="5"/>
        <v>-12.259</v>
      </c>
      <c r="AI7">
        <f t="shared" si="6"/>
        <v>1.2210000000000001</v>
      </c>
      <c r="AJ7">
        <f t="shared" si="7"/>
        <v>1.6</v>
      </c>
      <c r="AK7" t="str">
        <f t="shared" si="8"/>
        <v>M1.6</v>
      </c>
      <c r="AL7">
        <f t="shared" si="9"/>
        <v>0.35</v>
      </c>
      <c r="AM7">
        <f>HLOOKUP(AK7,教科書付表!$Y$7:$AS$20,9,FALSE)</f>
        <v>3.41</v>
      </c>
    </row>
    <row r="8" spans="1:40" x14ac:dyDescent="0.4">
      <c r="A8">
        <f t="shared" si="0"/>
        <v>-10.510000000000002</v>
      </c>
      <c r="B8">
        <f>教科書付表!B15</f>
        <v>0.2</v>
      </c>
      <c r="H8">
        <f t="shared" si="1"/>
        <v>-15.123000000000001</v>
      </c>
      <c r="I8">
        <f>教科書付表!L11</f>
        <v>1.5669999999999999</v>
      </c>
      <c r="J8" t="str">
        <f>教科書付表!F11</f>
        <v>M2</v>
      </c>
      <c r="K8" s="58">
        <f>教科書付表!O6</f>
        <v>2.2000000000000002</v>
      </c>
      <c r="L8">
        <f>教科書付表!P6</f>
        <v>5</v>
      </c>
      <c r="M8">
        <v>2</v>
      </c>
      <c r="Q8">
        <f>教科書掲載表!B7</f>
        <v>53.1</v>
      </c>
      <c r="R8">
        <f t="shared" si="2"/>
        <v>-18.899999999999999</v>
      </c>
      <c r="S8">
        <f>教科書掲載表!A7</f>
        <v>10</v>
      </c>
      <c r="T8">
        <f>教科書掲載表!C7</f>
        <v>0.35899999999999999</v>
      </c>
      <c r="U8">
        <f t="shared" si="3"/>
        <v>-2</v>
      </c>
      <c r="V8">
        <f>教科書掲載表!P6</f>
        <v>10</v>
      </c>
      <c r="W8">
        <f>教科書掲載表!E6</f>
        <v>10</v>
      </c>
      <c r="X8">
        <f>教科書掲載表!I6</f>
        <v>72</v>
      </c>
      <c r="Z8">
        <f t="shared" si="4"/>
        <v>10</v>
      </c>
      <c r="AA8">
        <f>教科書掲載表!I35</f>
        <v>20</v>
      </c>
      <c r="AB8">
        <f>教科書掲載表!I41</f>
        <v>21.5</v>
      </c>
      <c r="AH8">
        <f t="shared" si="5"/>
        <v>-11.913</v>
      </c>
      <c r="AI8">
        <f t="shared" si="6"/>
        <v>1.5669999999999999</v>
      </c>
      <c r="AJ8">
        <f t="shared" si="7"/>
        <v>2</v>
      </c>
      <c r="AK8" t="str">
        <f t="shared" si="8"/>
        <v>M2</v>
      </c>
      <c r="AL8">
        <f t="shared" si="9"/>
        <v>0.4</v>
      </c>
      <c r="AM8">
        <f>HLOOKUP(AK8,教科書付表!$Y$7:$AS$20,9,FALSE)</f>
        <v>4.32</v>
      </c>
    </row>
    <row r="9" spans="1:40" x14ac:dyDescent="0.4">
      <c r="A9">
        <f t="shared" si="0"/>
        <v>-10.46</v>
      </c>
      <c r="B9">
        <f>教科書付表!B19</f>
        <v>0.25</v>
      </c>
      <c r="H9">
        <f t="shared" si="1"/>
        <v>-14.677000000000001</v>
      </c>
      <c r="I9">
        <f>教科書付表!L13</f>
        <v>2.0129999999999999</v>
      </c>
      <c r="J9" t="str">
        <f>教科書付表!F13</f>
        <v>M2.5</v>
      </c>
      <c r="K9" s="58">
        <f>教科書付表!O7</f>
        <v>2.7</v>
      </c>
      <c r="L9">
        <f>教科書付表!P7</f>
        <v>6</v>
      </c>
      <c r="M9">
        <v>2.5</v>
      </c>
      <c r="Q9">
        <f>教科書掲載表!B8</f>
        <v>66.599999999999994</v>
      </c>
      <c r="R9">
        <f t="shared" si="2"/>
        <v>-5.4000000000000057</v>
      </c>
      <c r="S9">
        <f>教科書掲載表!A8</f>
        <v>11.2</v>
      </c>
      <c r="T9">
        <f>教科書掲載表!C8</f>
        <v>0.45100000000000001</v>
      </c>
      <c r="U9">
        <f t="shared" si="3"/>
        <v>0.5</v>
      </c>
      <c r="V9">
        <f>教科書掲載表!P7</f>
        <v>12.5</v>
      </c>
      <c r="W9">
        <f>教科書掲載表!E7</f>
        <v>12</v>
      </c>
      <c r="X9">
        <f>教科書掲載表!I7</f>
        <v>86</v>
      </c>
      <c r="Z9">
        <f t="shared" si="4"/>
        <v>14</v>
      </c>
      <c r="AA9">
        <f>教科書掲載表!J35</f>
        <v>24</v>
      </c>
      <c r="AB9">
        <f>教科書掲載表!J41</f>
        <v>25.5</v>
      </c>
      <c r="AH9">
        <f t="shared" si="5"/>
        <v>-11.467000000000001</v>
      </c>
      <c r="AI9">
        <f t="shared" si="6"/>
        <v>2.0129999999999999</v>
      </c>
      <c r="AJ9">
        <f t="shared" si="7"/>
        <v>2.5</v>
      </c>
      <c r="AK9" t="str">
        <f t="shared" si="8"/>
        <v>M2.5</v>
      </c>
      <c r="AL9">
        <f t="shared" si="9"/>
        <v>0.45</v>
      </c>
      <c r="AM9">
        <f>HLOOKUP(AK9,教科書付表!$Y$7:$AS$20,9,FALSE)</f>
        <v>5.45</v>
      </c>
    </row>
    <row r="10" spans="1:40" x14ac:dyDescent="0.4">
      <c r="A10">
        <f t="shared" si="0"/>
        <v>-10.395000000000001</v>
      </c>
      <c r="B10">
        <f>教科書付表!B23</f>
        <v>0.315</v>
      </c>
      <c r="H10">
        <f t="shared" si="1"/>
        <v>-14.231000000000002</v>
      </c>
      <c r="I10">
        <f>教科書付表!L14</f>
        <v>2.4590000000000001</v>
      </c>
      <c r="J10" t="str">
        <f>教科書付表!F14</f>
        <v>M3</v>
      </c>
      <c r="K10" s="58">
        <f>教科書付表!O8</f>
        <v>3.2</v>
      </c>
      <c r="L10">
        <f>教科書付表!P8</f>
        <v>7</v>
      </c>
      <c r="M10">
        <v>3</v>
      </c>
      <c r="Q10">
        <f>教科書掲載表!B9</f>
        <v>76.5</v>
      </c>
      <c r="R10">
        <f t="shared" si="2"/>
        <v>4.5</v>
      </c>
      <c r="S10">
        <f>教科書掲載表!A9</f>
        <v>12</v>
      </c>
      <c r="T10">
        <f>教科書掲載表!C9</f>
        <v>0.51700000000000002</v>
      </c>
      <c r="U10">
        <f t="shared" si="3"/>
        <v>2</v>
      </c>
      <c r="V10">
        <f>教科書掲載表!P8</f>
        <v>14</v>
      </c>
      <c r="W10">
        <f>教科書掲載表!E8</f>
        <v>14</v>
      </c>
      <c r="X10">
        <f>教科書掲載表!I8</f>
        <v>96</v>
      </c>
      <c r="Z10">
        <f t="shared" si="4"/>
        <v>20</v>
      </c>
      <c r="AA10">
        <f>教科書掲載表!K35</f>
        <v>30</v>
      </c>
      <c r="AB10">
        <f>教科書掲載表!K41</f>
        <v>32</v>
      </c>
      <c r="AH10">
        <f t="shared" si="5"/>
        <v>-11.021000000000001</v>
      </c>
      <c r="AI10">
        <f t="shared" si="6"/>
        <v>2.4590000000000001</v>
      </c>
      <c r="AJ10">
        <f t="shared" si="7"/>
        <v>3</v>
      </c>
      <c r="AK10" t="str">
        <f t="shared" si="8"/>
        <v>M3</v>
      </c>
      <c r="AL10">
        <f t="shared" si="9"/>
        <v>0.5</v>
      </c>
      <c r="AM10">
        <f>HLOOKUP(AK10,教科書付表!$Y$7:$AS$20,9,FALSE)</f>
        <v>6.01</v>
      </c>
    </row>
    <row r="11" spans="1:40" x14ac:dyDescent="0.4">
      <c r="A11">
        <f t="shared" si="0"/>
        <v>-10.31</v>
      </c>
      <c r="B11">
        <f>教科書付表!B27</f>
        <v>0.4</v>
      </c>
      <c r="H11">
        <f t="shared" si="1"/>
        <v>-13.448</v>
      </c>
      <c r="I11">
        <f>教科書付表!L16</f>
        <v>3.242</v>
      </c>
      <c r="J11" t="str">
        <f>教科書付表!F16</f>
        <v>M4</v>
      </c>
      <c r="K11" s="58">
        <f>教科書付表!O9</f>
        <v>4.3</v>
      </c>
      <c r="L11">
        <f>教科書付表!P9</f>
        <v>9</v>
      </c>
      <c r="M11">
        <v>4</v>
      </c>
      <c r="Q11">
        <f>教科書掲載表!B10</f>
        <v>83</v>
      </c>
      <c r="R11">
        <f t="shared" si="2"/>
        <v>11</v>
      </c>
      <c r="S11">
        <f>教科書掲載表!A10</f>
        <v>12.5</v>
      </c>
      <c r="T11">
        <f>教科書掲載表!C10</f>
        <v>0.56100000000000005</v>
      </c>
      <c r="U11">
        <f t="shared" si="3"/>
        <v>4</v>
      </c>
      <c r="V11">
        <f>教科書掲載表!P9</f>
        <v>16</v>
      </c>
      <c r="W11">
        <f>教科書掲載表!E9</f>
        <v>16</v>
      </c>
      <c r="X11">
        <f>教科書掲載表!I9</f>
        <v>110</v>
      </c>
      <c r="Z11">
        <f t="shared" si="4"/>
        <v>26</v>
      </c>
      <c r="AA11">
        <f>教科書掲載表!L35</f>
        <v>36</v>
      </c>
      <c r="AB11">
        <f>教科書掲載表!L41</f>
        <v>38</v>
      </c>
      <c r="AH11">
        <f t="shared" si="5"/>
        <v>-10.238</v>
      </c>
      <c r="AI11">
        <f t="shared" si="6"/>
        <v>3.242</v>
      </c>
      <c r="AJ11">
        <f t="shared" si="7"/>
        <v>4</v>
      </c>
      <c r="AK11" t="str">
        <f t="shared" si="8"/>
        <v>M4</v>
      </c>
      <c r="AL11">
        <f t="shared" si="9"/>
        <v>0.7</v>
      </c>
      <c r="AM11">
        <f>HLOOKUP(AK11,教科書付表!$Y$7:$AS$20,9,FALSE)</f>
        <v>7.66</v>
      </c>
    </row>
    <row r="12" spans="1:40" x14ac:dyDescent="0.4">
      <c r="A12">
        <f t="shared" si="0"/>
        <v>-10.210000000000001</v>
      </c>
      <c r="B12">
        <f>教科書付表!B31</f>
        <v>0.5</v>
      </c>
      <c r="H12">
        <f t="shared" si="1"/>
        <v>-12.556000000000001</v>
      </c>
      <c r="I12">
        <f>教科書付表!L18</f>
        <v>4.1340000000000003</v>
      </c>
      <c r="J12" t="str">
        <f>教科書付表!F18</f>
        <v>M5</v>
      </c>
      <c r="K12" s="58">
        <f>教科書付表!O10</f>
        <v>5.3</v>
      </c>
      <c r="L12">
        <f>教科書付表!P10</f>
        <v>10</v>
      </c>
      <c r="M12">
        <v>5</v>
      </c>
      <c r="Q12">
        <f>教科書掲載表!B11</f>
        <v>104</v>
      </c>
      <c r="R12">
        <f t="shared" si="2"/>
        <v>32</v>
      </c>
      <c r="S12">
        <f>教科書掲載表!A11</f>
        <v>14</v>
      </c>
      <c r="T12">
        <f>教科書掲載表!C11</f>
        <v>0.70399999999999996</v>
      </c>
      <c r="U12">
        <f t="shared" si="3"/>
        <v>6</v>
      </c>
      <c r="V12">
        <f>教科書掲載表!P10</f>
        <v>18</v>
      </c>
      <c r="W12">
        <f>教科書掲載表!E10</f>
        <v>18</v>
      </c>
      <c r="X12">
        <f>教科書掲載表!I10</f>
        <v>118</v>
      </c>
      <c r="AH12">
        <f t="shared" si="5"/>
        <v>-9.3460000000000001</v>
      </c>
      <c r="AI12">
        <f t="shared" si="6"/>
        <v>4.1340000000000003</v>
      </c>
      <c r="AJ12">
        <f t="shared" si="7"/>
        <v>5</v>
      </c>
      <c r="AK12" t="str">
        <f t="shared" si="8"/>
        <v>M5</v>
      </c>
      <c r="AL12">
        <f t="shared" si="9"/>
        <v>0.8</v>
      </c>
      <c r="AM12">
        <f>HLOOKUP(AK12,教科書付表!$Y$7:$AS$20,9,FALSE)</f>
        <v>8.7899999999999991</v>
      </c>
    </row>
    <row r="13" spans="1:40" x14ac:dyDescent="0.4">
      <c r="A13">
        <f t="shared" si="0"/>
        <v>-10.08</v>
      </c>
      <c r="B13">
        <f>教科書付表!B35</f>
        <v>0.63</v>
      </c>
      <c r="H13">
        <f t="shared" si="1"/>
        <v>-11.773000000000001</v>
      </c>
      <c r="I13">
        <f>教科書付表!L19</f>
        <v>4.9169999999999998</v>
      </c>
      <c r="J13" t="str">
        <f>教科書付表!F19</f>
        <v>M6</v>
      </c>
      <c r="K13" s="58">
        <f>教科書付表!O11</f>
        <v>6.4</v>
      </c>
      <c r="L13">
        <f>教科書付表!P11</f>
        <v>12</v>
      </c>
      <c r="M13">
        <v>6</v>
      </c>
      <c r="Q13">
        <f>教科書掲載表!B12</f>
        <v>136</v>
      </c>
      <c r="R13">
        <f t="shared" si="2"/>
        <v>64</v>
      </c>
      <c r="S13">
        <f>教科書掲載表!A12</f>
        <v>16</v>
      </c>
      <c r="T13">
        <f>教科書掲載表!C12</f>
        <v>0.92</v>
      </c>
      <c r="U13">
        <f t="shared" si="3"/>
        <v>8</v>
      </c>
      <c r="V13">
        <f>教科書掲載表!P11</f>
        <v>20</v>
      </c>
      <c r="W13">
        <f>教科書掲載表!E11</f>
        <v>20</v>
      </c>
      <c r="X13">
        <f>教科書掲載表!I11</f>
        <v>134</v>
      </c>
      <c r="Z13" t="s">
        <v>796</v>
      </c>
      <c r="AA13" t="s">
        <v>780</v>
      </c>
      <c r="AB13" t="s">
        <v>389</v>
      </c>
      <c r="AC13" t="s">
        <v>309</v>
      </c>
      <c r="AD13" t="str">
        <f>AC15</f>
        <v>内径</v>
      </c>
      <c r="AE13" t="str">
        <f>AD15</f>
        <v>ピッチ</v>
      </c>
      <c r="AH13">
        <f t="shared" si="5"/>
        <v>-8.5630000000000006</v>
      </c>
      <c r="AI13">
        <f t="shared" si="6"/>
        <v>4.9169999999999998</v>
      </c>
      <c r="AJ13">
        <f t="shared" si="7"/>
        <v>6</v>
      </c>
      <c r="AK13" t="str">
        <f t="shared" si="8"/>
        <v>M6</v>
      </c>
      <c r="AL13">
        <f t="shared" si="9"/>
        <v>1</v>
      </c>
      <c r="AM13">
        <f>HLOOKUP(AK13,教科書付表!$Y$7:$AS$20,9,FALSE)</f>
        <v>11.05</v>
      </c>
    </row>
    <row r="14" spans="1:40" x14ac:dyDescent="0.4">
      <c r="A14">
        <f t="shared" si="0"/>
        <v>-9.91</v>
      </c>
      <c r="B14">
        <f>教科書付表!B39</f>
        <v>0.8</v>
      </c>
      <c r="H14">
        <f t="shared" si="1"/>
        <v>-10.043000000000001</v>
      </c>
      <c r="I14">
        <f>教科書付表!L21</f>
        <v>6.6470000000000002</v>
      </c>
      <c r="J14" t="str">
        <f>教科書付表!F21</f>
        <v>M8</v>
      </c>
      <c r="K14" s="58">
        <f>教科書付表!O12</f>
        <v>8.4</v>
      </c>
      <c r="L14">
        <f>教科書付表!P12</f>
        <v>16</v>
      </c>
      <c r="M14">
        <v>8</v>
      </c>
      <c r="Q14">
        <f>教科書掲載表!B13</f>
        <v>172</v>
      </c>
      <c r="R14">
        <f t="shared" si="2"/>
        <v>100</v>
      </c>
      <c r="S14">
        <f>教科書掲載表!A13</f>
        <v>18</v>
      </c>
      <c r="T14">
        <f>教科書掲載表!C13</f>
        <v>1.1599999999999999</v>
      </c>
      <c r="U14">
        <f t="shared" si="3"/>
        <v>10.399999999999999</v>
      </c>
      <c r="V14">
        <f>教科書掲載表!P12</f>
        <v>22.4</v>
      </c>
      <c r="W14">
        <f>教科書掲載表!E12</f>
        <v>22</v>
      </c>
      <c r="X14">
        <f>教科書掲載表!I12</f>
        <v>149</v>
      </c>
      <c r="Z14">
        <f>AVERAGE('例題7.1~7.4'!Q2,'例題7.1~7.4'!Q3)</f>
        <v>9.5</v>
      </c>
      <c r="AA14">
        <f>SMALL(Z16:Z36,COUNTIF(Z16:Z36,"&lt;=0")+1)</f>
        <v>0.5</v>
      </c>
      <c r="AB14">
        <f>VLOOKUP(AA14,Z16:AA36,2)</f>
        <v>10</v>
      </c>
      <c r="AC14" t="str">
        <f>VLOOKUP(AA14,Z16:AB36,3)</f>
        <v>M10</v>
      </c>
      <c r="AD14">
        <f>VLOOKUP(AA14,Z16:AC36,4)</f>
        <v>8.3759999999999994</v>
      </c>
      <c r="AE14">
        <f>VLOOKUP(AA14,Z16:AD36,5)</f>
        <v>1.5</v>
      </c>
      <c r="AH14">
        <f t="shared" si="5"/>
        <v>-6.8330000000000002</v>
      </c>
      <c r="AI14">
        <f t="shared" si="6"/>
        <v>6.6470000000000002</v>
      </c>
      <c r="AJ14">
        <f t="shared" si="7"/>
        <v>8</v>
      </c>
      <c r="AK14" t="str">
        <f t="shared" si="8"/>
        <v>M8</v>
      </c>
      <c r="AL14">
        <f t="shared" si="9"/>
        <v>1.25</v>
      </c>
      <c r="AM14">
        <f>HLOOKUP(AK14,教科書付表!$Y$7:$AS$20,9,FALSE)</f>
        <v>14.38</v>
      </c>
    </row>
    <row r="15" spans="1:40" x14ac:dyDescent="0.4">
      <c r="A15">
        <f t="shared" si="0"/>
        <v>-9.7100000000000009</v>
      </c>
      <c r="B15">
        <f>教科書付表!B43</f>
        <v>1</v>
      </c>
      <c r="H15">
        <f t="shared" si="1"/>
        <v>-8.3140000000000018</v>
      </c>
      <c r="I15">
        <f>教科書付表!L23</f>
        <v>8.3759999999999994</v>
      </c>
      <c r="J15" t="str">
        <f>教科書付表!F23</f>
        <v>M10</v>
      </c>
      <c r="K15" s="58">
        <f>教科書付表!O13</f>
        <v>10.5</v>
      </c>
      <c r="L15">
        <f>教科書付表!P13</f>
        <v>20</v>
      </c>
      <c r="M15">
        <v>10</v>
      </c>
      <c r="Q15">
        <f>教科書掲載表!B14</f>
        <v>212</v>
      </c>
      <c r="R15">
        <f t="shared" si="2"/>
        <v>140</v>
      </c>
      <c r="S15">
        <f>教科書掲載表!A14</f>
        <v>20</v>
      </c>
      <c r="T15">
        <f>教科書掲載表!C14</f>
        <v>1.44</v>
      </c>
      <c r="U15">
        <f t="shared" si="3"/>
        <v>13</v>
      </c>
      <c r="V15">
        <f>教科書掲載表!P13</f>
        <v>25</v>
      </c>
      <c r="W15">
        <f>教科書掲載表!E13</f>
        <v>26</v>
      </c>
      <c r="X15">
        <f>教科書掲載表!I13</f>
        <v>172</v>
      </c>
      <c r="Z15" t="s">
        <v>786</v>
      </c>
      <c r="AA15" t="str">
        <f>教科書付表!J4</f>
        <v>外径
d</v>
      </c>
      <c r="AB15" t="s">
        <v>309</v>
      </c>
      <c r="AC15" t="s">
        <v>797</v>
      </c>
      <c r="AD15" t="s">
        <v>795</v>
      </c>
      <c r="AH15">
        <f t="shared" si="5"/>
        <v>-5.104000000000001</v>
      </c>
      <c r="AI15">
        <f t="shared" si="6"/>
        <v>8.3759999999999994</v>
      </c>
      <c r="AJ15">
        <f t="shared" si="7"/>
        <v>10</v>
      </c>
      <c r="AK15" t="str">
        <f t="shared" si="8"/>
        <v>M10</v>
      </c>
      <c r="AL15">
        <f t="shared" si="9"/>
        <v>1.5</v>
      </c>
      <c r="AM15">
        <f>HLOOKUP(AK15,教科書付表!$Y$7:$AS$20,9,FALSE)</f>
        <v>17.77</v>
      </c>
    </row>
    <row r="16" spans="1:40" x14ac:dyDescent="0.4">
      <c r="A16">
        <f t="shared" si="0"/>
        <v>-9.4600000000000009</v>
      </c>
      <c r="B16">
        <f>教科書付表!B47</f>
        <v>1.25</v>
      </c>
      <c r="H16">
        <f t="shared" si="1"/>
        <v>-6.5840000000000014</v>
      </c>
      <c r="I16">
        <f>教科書付表!L25</f>
        <v>10.106</v>
      </c>
      <c r="J16" t="str">
        <f>教科書付表!F25</f>
        <v>M12</v>
      </c>
      <c r="K16" s="58">
        <f>教科書付表!O14</f>
        <v>13</v>
      </c>
      <c r="L16">
        <f>教科書付表!P14</f>
        <v>24</v>
      </c>
      <c r="M16">
        <v>12</v>
      </c>
      <c r="Q16">
        <f>教科書掲載表!B15</f>
        <v>266</v>
      </c>
      <c r="R16">
        <f t="shared" si="2"/>
        <v>194</v>
      </c>
      <c r="S16">
        <f>教科書掲載表!A15</f>
        <v>22.4</v>
      </c>
      <c r="T16">
        <f>教科書掲載表!C15</f>
        <v>1.8</v>
      </c>
      <c r="U16">
        <f t="shared" si="3"/>
        <v>16</v>
      </c>
      <c r="V16">
        <f>教科書掲載表!P14</f>
        <v>28</v>
      </c>
      <c r="W16">
        <f>教科書掲載表!E14</f>
        <v>28</v>
      </c>
      <c r="X16">
        <f>教科書掲載表!I14</f>
        <v>186</v>
      </c>
      <c r="Z16">
        <f>AA16-$Z$14</f>
        <v>-8.5</v>
      </c>
      <c r="AA16">
        <f>M5</f>
        <v>1</v>
      </c>
      <c r="AB16" t="str">
        <f>J5</f>
        <v>M1</v>
      </c>
      <c r="AC16">
        <f>VLOOKUP(AB16,教科書付表!F5:L44,7,FALSE)</f>
        <v>0.72899999999999998</v>
      </c>
      <c r="AD16">
        <f>VLOOKUP(AB16,教科書付表!F5:L44,3,FALSE)</f>
        <v>0.25</v>
      </c>
      <c r="AH16">
        <f t="shared" si="5"/>
        <v>-3.3740000000000006</v>
      </c>
      <c r="AI16">
        <f t="shared" si="6"/>
        <v>10.106</v>
      </c>
      <c r="AJ16">
        <f t="shared" si="7"/>
        <v>12</v>
      </c>
      <c r="AK16" t="str">
        <f t="shared" si="8"/>
        <v>M12</v>
      </c>
      <c r="AL16">
        <f t="shared" si="9"/>
        <v>1.75</v>
      </c>
      <c r="AM16">
        <f>HLOOKUP(AK16,教科書付表!$Y$7:$AS$20,9,FALSE)</f>
        <v>20.03</v>
      </c>
    </row>
    <row r="17" spans="1:65" x14ac:dyDescent="0.4">
      <c r="A17">
        <f t="shared" si="0"/>
        <v>-9.1100000000000012</v>
      </c>
      <c r="B17">
        <f>教科書付表!B51</f>
        <v>1.6</v>
      </c>
      <c r="H17">
        <f t="shared" si="1"/>
        <v>-2.8550000000000004</v>
      </c>
      <c r="I17">
        <f>教科書付表!L27</f>
        <v>13.835000000000001</v>
      </c>
      <c r="J17" t="str">
        <f>教科書付表!F27</f>
        <v>M16</v>
      </c>
      <c r="K17" s="58">
        <f>教科書付表!O15</f>
        <v>17</v>
      </c>
      <c r="L17">
        <f>教科書付表!P15</f>
        <v>30</v>
      </c>
      <c r="M17">
        <v>16</v>
      </c>
      <c r="Q17">
        <f>教科書掲載表!B16</f>
        <v>332</v>
      </c>
      <c r="R17">
        <f t="shared" si="2"/>
        <v>260</v>
      </c>
      <c r="S17">
        <f>教科書掲載表!A16</f>
        <v>25</v>
      </c>
      <c r="T17">
        <f>教科書掲載表!C16</f>
        <v>2.25</v>
      </c>
      <c r="U17">
        <f t="shared" si="3"/>
        <v>18</v>
      </c>
      <c r="V17">
        <f>教科書掲載表!P15</f>
        <v>30</v>
      </c>
      <c r="W17">
        <f>教科書掲載表!E15</f>
        <v>30</v>
      </c>
      <c r="X17">
        <f>教科書掲載表!I15</f>
        <v>198</v>
      </c>
      <c r="Z17">
        <f t="shared" ref="Z17:Z36" si="10">AA17-$Z$14</f>
        <v>2.5</v>
      </c>
      <c r="AA17">
        <f t="shared" ref="AA17:AA36" si="11">M6</f>
        <v>12</v>
      </c>
      <c r="AB17" t="str">
        <f t="shared" ref="AB17:AB36" si="12">J6</f>
        <v>M1.2</v>
      </c>
      <c r="AC17">
        <f>VLOOKUP(AB17,教科書付表!F6:L45,7,FALSE)</f>
        <v>0.92900000000000005</v>
      </c>
      <c r="AD17">
        <f>VLOOKUP(AB17,教科書付表!F6:L45,3,FALSE)</f>
        <v>0.25</v>
      </c>
      <c r="AH17">
        <f t="shared" si="5"/>
        <v>0.35500000000000043</v>
      </c>
      <c r="AI17">
        <f t="shared" si="6"/>
        <v>13.835000000000001</v>
      </c>
      <c r="AJ17">
        <f t="shared" si="7"/>
        <v>16</v>
      </c>
      <c r="AK17" t="str">
        <f t="shared" si="8"/>
        <v>M16</v>
      </c>
      <c r="AL17">
        <f t="shared" si="9"/>
        <v>2</v>
      </c>
      <c r="AM17">
        <f>HLOOKUP(AK17,教科書付表!$Y$7:$AS$20,9,FALSE)</f>
        <v>26.75</v>
      </c>
    </row>
    <row r="18" spans="1:65" x14ac:dyDescent="0.4">
      <c r="A18">
        <f t="shared" si="0"/>
        <v>-8.7100000000000009</v>
      </c>
      <c r="B18">
        <f>教科書付表!B55</f>
        <v>2</v>
      </c>
      <c r="H18">
        <f t="shared" si="1"/>
        <v>0.6039999999999992</v>
      </c>
      <c r="I18">
        <f>教科書付表!L29</f>
        <v>17.294</v>
      </c>
      <c r="J18" t="str">
        <f>教科書付表!F29</f>
        <v>M20</v>
      </c>
      <c r="K18" s="58">
        <f>教科書付表!O16</f>
        <v>21</v>
      </c>
      <c r="L18">
        <f>教科書付表!P16</f>
        <v>37</v>
      </c>
      <c r="M18">
        <v>20</v>
      </c>
      <c r="Q18">
        <f>教科書掲載表!B17</f>
        <v>416</v>
      </c>
      <c r="R18">
        <f t="shared" si="2"/>
        <v>344</v>
      </c>
      <c r="S18">
        <f>教科書掲載表!A17</f>
        <v>28</v>
      </c>
      <c r="T18">
        <f>教科書掲載表!C17</f>
        <v>2.82</v>
      </c>
      <c r="U18">
        <f t="shared" si="3"/>
        <v>19.5</v>
      </c>
      <c r="V18">
        <f>教科書掲載表!P16</f>
        <v>31.5</v>
      </c>
      <c r="W18">
        <f>教科書掲載表!E16</f>
        <v>32</v>
      </c>
      <c r="X18">
        <f>教科書掲載表!I16</f>
        <v>210</v>
      </c>
      <c r="Z18">
        <f t="shared" si="10"/>
        <v>-7.9</v>
      </c>
      <c r="AA18">
        <f t="shared" si="11"/>
        <v>1.6</v>
      </c>
      <c r="AB18" t="str">
        <f t="shared" si="12"/>
        <v>M1.6</v>
      </c>
      <c r="AC18">
        <f>VLOOKUP(AB18,教科書付表!F7:L46,7,FALSE)</f>
        <v>1.2210000000000001</v>
      </c>
      <c r="AD18">
        <f>VLOOKUP(AB18,教科書付表!F7:L46,3,FALSE)</f>
        <v>0.35</v>
      </c>
      <c r="AH18">
        <f t="shared" si="5"/>
        <v>3.8140000000000001</v>
      </c>
      <c r="AI18">
        <f t="shared" si="6"/>
        <v>17.294</v>
      </c>
      <c r="AJ18">
        <f t="shared" si="7"/>
        <v>20</v>
      </c>
      <c r="AK18" t="str">
        <f t="shared" si="8"/>
        <v>M20</v>
      </c>
      <c r="AL18">
        <f t="shared" si="9"/>
        <v>2.5</v>
      </c>
      <c r="AM18">
        <f>HLOOKUP(AK18,教科書付表!$Y$7:$AS$20,9,FALSE)</f>
        <v>32.950000000000003</v>
      </c>
    </row>
    <row r="19" spans="1:65" x14ac:dyDescent="0.4">
      <c r="A19">
        <f t="shared" si="0"/>
        <v>-8.2100000000000009</v>
      </c>
      <c r="B19">
        <f>教科書付表!B59</f>
        <v>2.5</v>
      </c>
      <c r="H19">
        <f t="shared" si="1"/>
        <v>4.0619999999999976</v>
      </c>
      <c r="I19">
        <f>教科書付表!L31</f>
        <v>20.751999999999999</v>
      </c>
      <c r="J19" t="str">
        <f>教科書付表!F31</f>
        <v>M24</v>
      </c>
      <c r="K19" s="58">
        <f>教科書付表!O17</f>
        <v>25</v>
      </c>
      <c r="L19">
        <f>教科書付表!P17</f>
        <v>44</v>
      </c>
      <c r="M19">
        <v>24</v>
      </c>
      <c r="Q19">
        <f>教科書掲載表!B18</f>
        <v>478</v>
      </c>
      <c r="R19">
        <f t="shared" si="2"/>
        <v>406</v>
      </c>
      <c r="S19">
        <f>教科書掲載表!A18</f>
        <v>30</v>
      </c>
      <c r="T19">
        <f>教科書掲載表!C18</f>
        <v>3.23</v>
      </c>
      <c r="U19">
        <f t="shared" si="3"/>
        <v>21.5</v>
      </c>
      <c r="V19">
        <f>教科書掲載表!P17</f>
        <v>33.5</v>
      </c>
      <c r="W19">
        <f>教科書掲載表!E17</f>
        <v>34</v>
      </c>
      <c r="X19">
        <f>教科書掲載表!I17</f>
        <v>224</v>
      </c>
      <c r="Z19">
        <f t="shared" si="10"/>
        <v>-7.5</v>
      </c>
      <c r="AA19">
        <f t="shared" si="11"/>
        <v>2</v>
      </c>
      <c r="AB19" t="str">
        <f t="shared" si="12"/>
        <v>M2</v>
      </c>
      <c r="AC19">
        <f>VLOOKUP(AB19,教科書付表!F8:L47,7,FALSE)</f>
        <v>1.5669999999999999</v>
      </c>
      <c r="AD19">
        <f>VLOOKUP(AB19,教科書付表!F8:L47,3,FALSE)</f>
        <v>0.4</v>
      </c>
      <c r="AH19">
        <f t="shared" si="5"/>
        <v>7.2719999999999985</v>
      </c>
      <c r="AI19">
        <f t="shared" si="6"/>
        <v>20.751999999999999</v>
      </c>
      <c r="AJ19">
        <f t="shared" si="7"/>
        <v>24</v>
      </c>
      <c r="AK19" t="str">
        <f t="shared" si="8"/>
        <v>M24</v>
      </c>
      <c r="AL19">
        <f t="shared" si="9"/>
        <v>3</v>
      </c>
      <c r="AM19">
        <f>HLOOKUP(AK19,教科書付表!$Y$7:$AS$20,9,FALSE)</f>
        <v>39.549999999999997</v>
      </c>
      <c r="BM19" t="s">
        <v>205</v>
      </c>
    </row>
    <row r="20" spans="1:65" x14ac:dyDescent="0.4">
      <c r="A20">
        <f t="shared" si="0"/>
        <v>-7.5600000000000005</v>
      </c>
      <c r="B20">
        <f>教科書付表!B63</f>
        <v>3.15</v>
      </c>
      <c r="H20">
        <f t="shared" si="1"/>
        <v>9.5209999999999972</v>
      </c>
      <c r="I20">
        <f>教科書付表!L33</f>
        <v>26.210999999999999</v>
      </c>
      <c r="J20" t="str">
        <f>教科書付表!F33</f>
        <v>M30</v>
      </c>
      <c r="K20" s="58">
        <f>教科書付表!O18</f>
        <v>31</v>
      </c>
      <c r="L20">
        <f>教科書付表!P18</f>
        <v>56</v>
      </c>
      <c r="M20">
        <v>30</v>
      </c>
      <c r="Q20">
        <f>教科書掲載表!B19</f>
        <v>527</v>
      </c>
      <c r="R20">
        <f t="shared" si="2"/>
        <v>455</v>
      </c>
      <c r="S20">
        <f>教科書掲載表!A19</f>
        <v>31.5</v>
      </c>
      <c r="T20">
        <f>教科書掲載表!C19</f>
        <v>3.57</v>
      </c>
      <c r="U20">
        <f t="shared" si="3"/>
        <v>23.5</v>
      </c>
      <c r="V20">
        <f>教科書掲載表!P18</f>
        <v>35.5</v>
      </c>
      <c r="W20">
        <f>教科書掲載表!E18</f>
        <v>36</v>
      </c>
      <c r="X20">
        <f>教科書掲載表!I18</f>
        <v>235</v>
      </c>
      <c r="Z20">
        <f t="shared" si="10"/>
        <v>-7</v>
      </c>
      <c r="AA20">
        <f t="shared" si="11"/>
        <v>2.5</v>
      </c>
      <c r="AB20" t="str">
        <f t="shared" si="12"/>
        <v>M2.5</v>
      </c>
      <c r="AC20">
        <f>VLOOKUP(AB20,教科書付表!F9:L48,7,FALSE)</f>
        <v>2.0129999999999999</v>
      </c>
      <c r="AD20">
        <f>VLOOKUP(AB20,教科書付表!F9:L48,3,FALSE)</f>
        <v>0.45</v>
      </c>
      <c r="AH20">
        <f t="shared" si="5"/>
        <v>12.730999999999998</v>
      </c>
      <c r="AI20">
        <f t="shared" si="6"/>
        <v>26.210999999999999</v>
      </c>
      <c r="AJ20">
        <f t="shared" si="7"/>
        <v>30</v>
      </c>
      <c r="AK20" t="str">
        <f t="shared" si="8"/>
        <v>M30</v>
      </c>
      <c r="AL20">
        <f t="shared" si="9"/>
        <v>3.5</v>
      </c>
      <c r="AM20">
        <f>HLOOKUP(AK20,教科書付表!$Y$7:$AS$20,9,FALSE)</f>
        <v>50.85</v>
      </c>
    </row>
    <row r="21" spans="1:65" x14ac:dyDescent="0.4">
      <c r="A21">
        <f t="shared" si="0"/>
        <v>-6.7100000000000009</v>
      </c>
      <c r="B21">
        <f>教科書付表!B67</f>
        <v>4</v>
      </c>
      <c r="H21">
        <f t="shared" si="1"/>
        <v>14.98</v>
      </c>
      <c r="I21">
        <f>教科書付表!L35</f>
        <v>31.67</v>
      </c>
      <c r="J21" t="str">
        <f>教科書付表!F35</f>
        <v>M36</v>
      </c>
      <c r="K21" s="58">
        <f>教科書付表!O19</f>
        <v>37</v>
      </c>
      <c r="L21">
        <f>教科書付表!P19</f>
        <v>66</v>
      </c>
      <c r="M21">
        <v>36</v>
      </c>
      <c r="Q21">
        <f>教科書掲載表!B20</f>
        <v>596</v>
      </c>
      <c r="R21">
        <f t="shared" si="2"/>
        <v>524</v>
      </c>
      <c r="S21">
        <f>教科書掲載表!A20</f>
        <v>33.5</v>
      </c>
      <c r="T21">
        <f>教科書掲載表!C20</f>
        <v>4.03</v>
      </c>
      <c r="U21">
        <f t="shared" si="3"/>
        <v>25.5</v>
      </c>
      <c r="V21">
        <f>教科書掲載表!P19</f>
        <v>37.5</v>
      </c>
      <c r="W21">
        <f>教科書掲載表!E19</f>
        <v>38</v>
      </c>
      <c r="X21">
        <f>教科書掲載表!I19</f>
        <v>249</v>
      </c>
      <c r="Z21">
        <f t="shared" si="10"/>
        <v>-6.5</v>
      </c>
      <c r="AA21">
        <f t="shared" si="11"/>
        <v>3</v>
      </c>
      <c r="AB21" t="str">
        <f t="shared" si="12"/>
        <v>M3</v>
      </c>
      <c r="AC21">
        <f>VLOOKUP(AB21,教科書付表!F10:L49,7,FALSE)</f>
        <v>2.4590000000000001</v>
      </c>
      <c r="AD21">
        <f>VLOOKUP(AB21,教科書付表!F10:L49,3,FALSE)</f>
        <v>0.5</v>
      </c>
      <c r="AH21">
        <f t="shared" si="5"/>
        <v>18.190000000000001</v>
      </c>
      <c r="AI21">
        <f t="shared" si="6"/>
        <v>31.67</v>
      </c>
      <c r="AJ21">
        <f t="shared" si="7"/>
        <v>36</v>
      </c>
      <c r="AK21" t="str">
        <f t="shared" si="8"/>
        <v>M36</v>
      </c>
      <c r="AL21">
        <f t="shared" si="9"/>
        <v>4</v>
      </c>
      <c r="AM21">
        <f>HLOOKUP(AK21,教科書付表!$Y$7:$AS$20,9,FALSE)</f>
        <v>60.79</v>
      </c>
    </row>
    <row r="22" spans="1:65" x14ac:dyDescent="0.4">
      <c r="A22">
        <f t="shared" si="0"/>
        <v>-5.7100000000000009</v>
      </c>
      <c r="B22">
        <f>教科書付表!B71</f>
        <v>5</v>
      </c>
      <c r="H22">
        <f t="shared" si="1"/>
        <v>20.438999999999997</v>
      </c>
      <c r="I22">
        <f>教科書付表!L37</f>
        <v>37.128999999999998</v>
      </c>
      <c r="J22" t="str">
        <f>教科書付表!F37</f>
        <v>M42</v>
      </c>
      <c r="K22" s="58">
        <f>教科書付表!O20</f>
        <v>45</v>
      </c>
      <c r="L22">
        <f>教科書付表!P20</f>
        <v>78</v>
      </c>
      <c r="M22">
        <v>42</v>
      </c>
      <c r="Q22">
        <f>教科書掲載表!B21</f>
        <v>669</v>
      </c>
      <c r="R22">
        <f t="shared" si="2"/>
        <v>597</v>
      </c>
      <c r="S22">
        <f>教科書掲載表!A21</f>
        <v>35.5</v>
      </c>
      <c r="T22">
        <f>教科書掲載表!C21</f>
        <v>4.53</v>
      </c>
      <c r="U22">
        <f t="shared" si="3"/>
        <v>28</v>
      </c>
      <c r="V22">
        <f>教科書掲載表!P20</f>
        <v>40</v>
      </c>
      <c r="W22">
        <f>教科書掲載表!E20</f>
        <v>40</v>
      </c>
      <c r="X22">
        <f>教科書掲載表!I20</f>
        <v>262</v>
      </c>
      <c r="Z22">
        <f t="shared" si="10"/>
        <v>-5.5</v>
      </c>
      <c r="AA22">
        <f t="shared" si="11"/>
        <v>4</v>
      </c>
      <c r="AB22" t="str">
        <f t="shared" si="12"/>
        <v>M4</v>
      </c>
      <c r="AC22">
        <f>VLOOKUP(AB22,教科書付表!F11:L50,7,FALSE)</f>
        <v>3.242</v>
      </c>
      <c r="AD22">
        <f>VLOOKUP(AB22,教科書付表!F11:L50,3,FALSE)</f>
        <v>0.7</v>
      </c>
      <c r="AH22">
        <f t="shared" si="5"/>
        <v>23.648999999999997</v>
      </c>
      <c r="AI22">
        <f t="shared" si="6"/>
        <v>37.128999999999998</v>
      </c>
      <c r="AJ22">
        <f t="shared" si="7"/>
        <v>42</v>
      </c>
      <c r="AK22" t="str">
        <f t="shared" si="8"/>
        <v>M42</v>
      </c>
      <c r="AL22">
        <f t="shared" si="9"/>
        <v>4.5</v>
      </c>
      <c r="AM22">
        <f>HLOOKUP(AK22,教科書付表!$Y$7:$AS$20,9,FALSE)</f>
        <v>71.3</v>
      </c>
    </row>
    <row r="23" spans="1:65" x14ac:dyDescent="0.4">
      <c r="A23">
        <f t="shared" si="0"/>
        <v>-4.410000000000001</v>
      </c>
      <c r="B23">
        <f>教科書付表!B75</f>
        <v>6.3</v>
      </c>
      <c r="H23">
        <f t="shared" si="1"/>
        <v>25.897000000000002</v>
      </c>
      <c r="I23">
        <f>教科書付表!L39</f>
        <v>42.587000000000003</v>
      </c>
      <c r="J23" t="str">
        <f>教科書付表!F39</f>
        <v>M48</v>
      </c>
      <c r="K23" s="58">
        <f>教科書付表!O21</f>
        <v>52</v>
      </c>
      <c r="L23">
        <f>教科書付表!P21</f>
        <v>92</v>
      </c>
      <c r="M23">
        <v>48</v>
      </c>
      <c r="Q23">
        <f>教科書掲載表!B22</f>
        <v>747</v>
      </c>
      <c r="R23">
        <f t="shared" si="2"/>
        <v>675</v>
      </c>
      <c r="S23">
        <f>教科書掲載表!A22</f>
        <v>37.5</v>
      </c>
      <c r="T23">
        <f>教科書掲載表!C22</f>
        <v>5.05</v>
      </c>
      <c r="U23">
        <f t="shared" si="3"/>
        <v>30.5</v>
      </c>
      <c r="V23">
        <f>教科書掲載表!P21</f>
        <v>42.5</v>
      </c>
      <c r="W23">
        <f>教科書掲載表!E21</f>
        <v>42</v>
      </c>
      <c r="X23">
        <f>教科書掲載表!I21</f>
        <v>277</v>
      </c>
      <c r="Z23">
        <f t="shared" si="10"/>
        <v>-4.5</v>
      </c>
      <c r="AA23">
        <f t="shared" si="11"/>
        <v>5</v>
      </c>
      <c r="AB23" t="str">
        <f t="shared" si="12"/>
        <v>M5</v>
      </c>
      <c r="AC23">
        <f>VLOOKUP(AB23,教科書付表!F12:L51,7,FALSE)</f>
        <v>4.1340000000000003</v>
      </c>
      <c r="AD23">
        <f>VLOOKUP(AB23,教科書付表!F12:L51,3,FALSE)</f>
        <v>0.8</v>
      </c>
      <c r="AH23">
        <f t="shared" si="5"/>
        <v>29.107000000000003</v>
      </c>
      <c r="AI23">
        <f t="shared" si="6"/>
        <v>42.587000000000003</v>
      </c>
      <c r="AJ23">
        <f t="shared" si="7"/>
        <v>48</v>
      </c>
      <c r="AK23" t="str">
        <f t="shared" si="8"/>
        <v>M48</v>
      </c>
      <c r="AL23">
        <f t="shared" si="9"/>
        <v>5</v>
      </c>
      <c r="AM23">
        <f>HLOOKUP(AK23,教科書付表!$Y$7:$AS$20,9,FALSE)</f>
        <v>82.6</v>
      </c>
    </row>
    <row r="24" spans="1:65" x14ac:dyDescent="0.4">
      <c r="A24">
        <f t="shared" si="0"/>
        <v>-2.7100000000000009</v>
      </c>
      <c r="B24">
        <f>教科書付表!B79</f>
        <v>8</v>
      </c>
      <c r="H24">
        <f t="shared" si="1"/>
        <v>33.355999999999995</v>
      </c>
      <c r="I24">
        <f>教科書付表!L41</f>
        <v>50.045999999999999</v>
      </c>
      <c r="J24" t="str">
        <f>教科書付表!F41</f>
        <v>M56</v>
      </c>
      <c r="K24" s="58">
        <f>教科書付表!O22</f>
        <v>62</v>
      </c>
      <c r="L24">
        <f>教科書付表!P22</f>
        <v>105</v>
      </c>
      <c r="M24">
        <v>56</v>
      </c>
      <c r="Q24">
        <f>教科書掲載表!B23</f>
        <v>850</v>
      </c>
      <c r="R24">
        <f t="shared" si="2"/>
        <v>778</v>
      </c>
      <c r="S24">
        <f>教科書掲載表!A23</f>
        <v>40</v>
      </c>
      <c r="T24">
        <f>教科書掲載表!C23</f>
        <v>5.75</v>
      </c>
      <c r="U24">
        <f t="shared" si="3"/>
        <v>33</v>
      </c>
      <c r="V24">
        <f>教科書掲載表!P22</f>
        <v>45</v>
      </c>
      <c r="W24">
        <f>教科書掲載表!E22</f>
        <v>45</v>
      </c>
      <c r="X24">
        <f>教科書掲載表!I22</f>
        <v>290</v>
      </c>
      <c r="Z24">
        <f t="shared" si="10"/>
        <v>-3.5</v>
      </c>
      <c r="AA24">
        <f t="shared" si="11"/>
        <v>6</v>
      </c>
      <c r="AB24" t="str">
        <f t="shared" si="12"/>
        <v>M6</v>
      </c>
      <c r="AC24">
        <f>VLOOKUP(AB24,教科書付表!F13:L52,7,FALSE)</f>
        <v>4.9169999999999998</v>
      </c>
      <c r="AD24">
        <f>VLOOKUP(AB24,教科書付表!F13:L52,3,FALSE)</f>
        <v>1</v>
      </c>
      <c r="AH24">
        <f t="shared" si="5"/>
        <v>36.566000000000003</v>
      </c>
      <c r="AI24">
        <f t="shared" si="6"/>
        <v>50.045999999999999</v>
      </c>
      <c r="AJ24">
        <f t="shared" si="7"/>
        <v>56</v>
      </c>
      <c r="AK24" t="str">
        <f t="shared" si="8"/>
        <v>M56</v>
      </c>
      <c r="AL24">
        <f t="shared" si="9"/>
        <v>5.5</v>
      </c>
      <c r="AM24">
        <f>HLOOKUP(AK24,教科書付表!$Y$7:$AS$20,9,FALSE)</f>
        <v>93.56</v>
      </c>
    </row>
    <row r="25" spans="1:65" x14ac:dyDescent="0.4">
      <c r="A25">
        <f t="shared" si="0"/>
        <v>-0.71000000000000085</v>
      </c>
      <c r="B25">
        <f>教科書付表!B83</f>
        <v>10</v>
      </c>
      <c r="H25">
        <f t="shared" si="1"/>
        <v>40.814999999999998</v>
      </c>
      <c r="I25">
        <f>教科書付表!L43</f>
        <v>57.505000000000003</v>
      </c>
      <c r="J25" t="str">
        <f>教科書付表!F43</f>
        <v>M64</v>
      </c>
      <c r="K25" s="58">
        <f>教科書付表!O23</f>
        <v>70</v>
      </c>
      <c r="L25">
        <f>教科書付表!P23</f>
        <v>115</v>
      </c>
      <c r="M25">
        <v>64</v>
      </c>
      <c r="Q25">
        <f>教科書掲載表!B24</f>
        <v>959</v>
      </c>
      <c r="R25">
        <f t="shared" si="2"/>
        <v>887</v>
      </c>
      <c r="S25">
        <f>教科書掲載表!A24</f>
        <v>42.5</v>
      </c>
      <c r="T25">
        <f>教科書掲載表!C24</f>
        <v>6.49</v>
      </c>
      <c r="U25">
        <f t="shared" si="3"/>
        <v>35.5</v>
      </c>
      <c r="V25">
        <f>教科書掲載表!P23</f>
        <v>47.5</v>
      </c>
      <c r="W25">
        <f>教科書掲載表!E23</f>
        <v>48</v>
      </c>
      <c r="X25">
        <f>教科書掲載表!I23</f>
        <v>312</v>
      </c>
      <c r="Z25">
        <f t="shared" si="10"/>
        <v>-1.5</v>
      </c>
      <c r="AA25">
        <f t="shared" si="11"/>
        <v>8</v>
      </c>
      <c r="AB25" t="str">
        <f t="shared" si="12"/>
        <v>M8</v>
      </c>
      <c r="AC25">
        <f>VLOOKUP(AB25,教科書付表!F14:L53,7,FALSE)</f>
        <v>6.6470000000000002</v>
      </c>
      <c r="AD25">
        <f>VLOOKUP(AB25,教科書付表!F14:L53,3,FALSE)</f>
        <v>1.25</v>
      </c>
      <c r="AH25">
        <f t="shared" si="5"/>
        <v>44.025000000000006</v>
      </c>
      <c r="AI25">
        <f t="shared" si="6"/>
        <v>57.505000000000003</v>
      </c>
      <c r="AJ25">
        <f t="shared" si="7"/>
        <v>64</v>
      </c>
      <c r="AK25" t="str">
        <f t="shared" si="8"/>
        <v>M64</v>
      </c>
      <c r="AL25">
        <f t="shared" si="9"/>
        <v>6</v>
      </c>
      <c r="AM25">
        <f>HLOOKUP(AK25,教科書付表!$Y$7:$AS$20,9,FALSE)</f>
        <v>104.86</v>
      </c>
    </row>
    <row r="26" spans="1:65" x14ac:dyDescent="0.4">
      <c r="A26">
        <f t="shared" si="0"/>
        <v>1.7899999999999991</v>
      </c>
      <c r="B26">
        <f>教科書付表!B87</f>
        <v>12.5</v>
      </c>
      <c r="Q26">
        <f>教科書掲載表!B25</f>
        <v>1080</v>
      </c>
      <c r="R26">
        <f t="shared" si="2"/>
        <v>1008</v>
      </c>
      <c r="S26">
        <f>教科書掲載表!A25</f>
        <v>45</v>
      </c>
      <c r="T26">
        <f>教科書掲載表!C25</f>
        <v>7.28</v>
      </c>
      <c r="U26">
        <f t="shared" si="3"/>
        <v>38</v>
      </c>
      <c r="V26">
        <f>教科書掲載表!P24</f>
        <v>50</v>
      </c>
      <c r="W26">
        <f>教科書掲載表!E24</f>
        <v>50</v>
      </c>
      <c r="X26">
        <f>教科書掲載表!I24</f>
        <v>322</v>
      </c>
      <c r="Z26">
        <f t="shared" si="10"/>
        <v>0.5</v>
      </c>
      <c r="AA26">
        <f t="shared" si="11"/>
        <v>10</v>
      </c>
      <c r="AB26" t="str">
        <f t="shared" si="12"/>
        <v>M10</v>
      </c>
      <c r="AC26">
        <f>VLOOKUP(AB26,教科書付表!F15:L54,7,FALSE)</f>
        <v>8.3759999999999994</v>
      </c>
      <c r="AD26">
        <f>VLOOKUP(AB26,教科書付表!F15:L54,3,FALSE)</f>
        <v>1.5</v>
      </c>
    </row>
    <row r="27" spans="1:65" x14ac:dyDescent="0.4">
      <c r="A27">
        <f t="shared" si="0"/>
        <v>5.2899999999999991</v>
      </c>
      <c r="B27">
        <f t="shared" ref="B27:B65" si="13">B17*10</f>
        <v>16</v>
      </c>
      <c r="H27" t="s">
        <v>17</v>
      </c>
      <c r="I27" t="s">
        <v>74</v>
      </c>
      <c r="J27" t="str">
        <f>J2</f>
        <v>正の最小値</v>
      </c>
      <c r="K27" t="s">
        <v>59</v>
      </c>
      <c r="Q27">
        <f>教科書掲載表!B26</f>
        <v>1200</v>
      </c>
      <c r="R27">
        <f t="shared" si="2"/>
        <v>1128</v>
      </c>
      <c r="S27">
        <f>教科書掲載表!A26</f>
        <v>47.5</v>
      </c>
      <c r="T27">
        <f>教科書掲載表!C26</f>
        <v>8.11</v>
      </c>
      <c r="U27">
        <f t="shared" si="3"/>
        <v>41</v>
      </c>
      <c r="V27">
        <f>教科書掲載表!P25</f>
        <v>53</v>
      </c>
      <c r="W27">
        <f>教科書掲載表!E25</f>
        <v>53</v>
      </c>
      <c r="X27">
        <f>教科書掲載表!I25</f>
        <v>345</v>
      </c>
      <c r="Z27">
        <f t="shared" si="10"/>
        <v>2.5</v>
      </c>
      <c r="AA27">
        <f t="shared" si="11"/>
        <v>12</v>
      </c>
      <c r="AB27" t="str">
        <f t="shared" si="12"/>
        <v>M12</v>
      </c>
      <c r="AC27">
        <f>VLOOKUP(AB27,教科書付表!F16:L55,7,FALSE)</f>
        <v>10.106</v>
      </c>
      <c r="AD27">
        <f>VLOOKUP(AB27,教科書付表!F16:L55,3,FALSE)</f>
        <v>1.75</v>
      </c>
      <c r="AH27" t="s">
        <v>798</v>
      </c>
      <c r="AI27" t="s">
        <v>780</v>
      </c>
      <c r="AJ27" t="s">
        <v>769</v>
      </c>
      <c r="AK27" t="str">
        <f>AJ29</f>
        <v>ピッチ</v>
      </c>
      <c r="AL27" t="str">
        <f>AK29</f>
        <v>内径</v>
      </c>
      <c r="AM27" t="str">
        <f>AL29</f>
        <v>呼び</v>
      </c>
      <c r="AO27" t="s">
        <v>17</v>
      </c>
      <c r="AP27" t="s">
        <v>780</v>
      </c>
      <c r="AQ27" t="s">
        <v>769</v>
      </c>
      <c r="AR27" t="str">
        <f>AQ29</f>
        <v>呼び</v>
      </c>
      <c r="AS27" t="str">
        <f>AR29</f>
        <v>内径</v>
      </c>
      <c r="AT27" t="str">
        <f>AS29</f>
        <v>ピッチ</v>
      </c>
      <c r="AU27" t="str">
        <f>AT29</f>
        <v>高さ</v>
      </c>
    </row>
    <row r="28" spans="1:65" x14ac:dyDescent="0.4">
      <c r="A28">
        <f t="shared" si="0"/>
        <v>9.2899999999999991</v>
      </c>
      <c r="B28">
        <f t="shared" si="13"/>
        <v>20</v>
      </c>
      <c r="H28">
        <f>'3章'!K4</f>
        <v>7.28</v>
      </c>
      <c r="J28">
        <f>SMALL(I30:I50,COUNTIF(I30:I50,"&lt;=0")+1)</f>
        <v>0.71999999999999975</v>
      </c>
      <c r="K28" t="str">
        <f>VLOOKUP(J28,I30:K50,3,FALSE)</f>
        <v>M8</v>
      </c>
      <c r="Q28">
        <f>教科書掲載表!B27</f>
        <v>1330</v>
      </c>
      <c r="R28">
        <f t="shared" si="2"/>
        <v>1258</v>
      </c>
      <c r="S28">
        <f>教科書掲載表!A27</f>
        <v>50</v>
      </c>
      <c r="T28">
        <f>教科書掲載表!C27</f>
        <v>8.98</v>
      </c>
      <c r="U28">
        <f t="shared" si="3"/>
        <v>44</v>
      </c>
      <c r="V28">
        <f>教科書掲載表!P26</f>
        <v>56</v>
      </c>
      <c r="W28">
        <f>教科書掲載表!E26</f>
        <v>56</v>
      </c>
      <c r="X28">
        <f>教科書掲載表!I26</f>
        <v>358</v>
      </c>
      <c r="Z28">
        <f t="shared" si="10"/>
        <v>6.5</v>
      </c>
      <c r="AA28">
        <f t="shared" si="11"/>
        <v>16</v>
      </c>
      <c r="AB28" t="str">
        <f t="shared" si="12"/>
        <v>M16</v>
      </c>
      <c r="AC28">
        <f>VLOOKUP(AB28,教科書付表!F17:L56,7,FALSE)</f>
        <v>13.835000000000001</v>
      </c>
      <c r="AD28">
        <f>VLOOKUP(AB28,教科書付表!F17:L56,3,FALSE)</f>
        <v>2</v>
      </c>
      <c r="AH28">
        <f>'例題7.5'!A34</f>
        <v>6</v>
      </c>
      <c r="AI28">
        <f>IF(SMALL(AH30:AH62,COUNTIF(AH30:AH62,"&lt;=0"))=0,SMALL(AH30:AH62,COUNTIF(AH30:AH62,"&lt;=0")),SMALL(AH30:AH62,COUNTIF(AH30:AH62,"&lt;=0")+1))</f>
        <v>0</v>
      </c>
      <c r="AJ28">
        <f>VLOOKUP(AI28,AH30:AI50,2)</f>
        <v>6</v>
      </c>
      <c r="AK28">
        <f>VLOOKUP(AI28,AH30:AJ50,3)</f>
        <v>1</v>
      </c>
      <c r="AL28">
        <f>VLOOKUP(AI28,AH30:AK50,4)</f>
        <v>4.9169999999999998</v>
      </c>
      <c r="AM28" t="str">
        <f>VLOOKUP(AI28,AH30:AL5054,5)</f>
        <v>M6</v>
      </c>
      <c r="AO28">
        <f>'例題11.1'!H2</f>
        <v>19.8</v>
      </c>
      <c r="AP28">
        <f>IF(SMALL(AO30:AO69,COUNTIF(AO30:AO69,"&lt;=0"))=0,SMALL(AO30:AO69,COUNTIF(AO30:AO69,"&lt;=0")),SMALL(AO30:AO69,COUNTIF(AO30:AO69,"&lt;=0")+1))</f>
        <v>0.19999999999999929</v>
      </c>
      <c r="AQ28">
        <f>VLOOKUP(AP28,AO30:AP50,2)</f>
        <v>20</v>
      </c>
      <c r="AR28" t="str">
        <f>VLOOKUP(AP28,AO30:AQ50,3)</f>
        <v>M20</v>
      </c>
      <c r="AS28">
        <f>VLOOKUP(AP28,AO30:AR50,4)</f>
        <v>17.294</v>
      </c>
      <c r="AT28">
        <f>VLOOKUP(AP28,AO30:AS50,5)</f>
        <v>2.5</v>
      </c>
      <c r="AU28">
        <f>VLOOKUP(AP28,AO30:AT50,6)</f>
        <v>18</v>
      </c>
    </row>
    <row r="29" spans="1:65" x14ac:dyDescent="0.4">
      <c r="A29">
        <f t="shared" si="0"/>
        <v>14.29</v>
      </c>
      <c r="B29">
        <f t="shared" si="13"/>
        <v>25</v>
      </c>
      <c r="I29" t="s">
        <v>786</v>
      </c>
      <c r="J29" s="39" t="s">
        <v>792</v>
      </c>
      <c r="K29" t="s">
        <v>789</v>
      </c>
      <c r="Q29">
        <f>教科書掲載表!B28</f>
        <v>1490</v>
      </c>
      <c r="R29">
        <f t="shared" si="2"/>
        <v>1418</v>
      </c>
      <c r="S29">
        <f>教科書掲載表!A28</f>
        <v>53</v>
      </c>
      <c r="T29">
        <f>教科書掲載表!C28</f>
        <v>10.1</v>
      </c>
      <c r="U29">
        <f t="shared" si="3"/>
        <v>48</v>
      </c>
      <c r="V29">
        <f>教科書掲載表!P27</f>
        <v>60</v>
      </c>
      <c r="W29">
        <f>教科書掲載表!E27</f>
        <v>60</v>
      </c>
      <c r="X29">
        <f>教科書掲載表!I27</f>
        <v>396</v>
      </c>
      <c r="Z29">
        <f t="shared" si="10"/>
        <v>10.5</v>
      </c>
      <c r="AA29">
        <f t="shared" si="11"/>
        <v>20</v>
      </c>
      <c r="AB29" t="str">
        <f t="shared" si="12"/>
        <v>M20</v>
      </c>
      <c r="AC29">
        <f>VLOOKUP(AB29,教科書付表!F18:L57,7,FALSE)</f>
        <v>17.294</v>
      </c>
      <c r="AD29">
        <f>VLOOKUP(AB29,教科書付表!F18:L57,3,FALSE)</f>
        <v>2.5</v>
      </c>
      <c r="AH29" t="s">
        <v>786</v>
      </c>
      <c r="AI29" t="str">
        <f>AJ4</f>
        <v>外径
d</v>
      </c>
      <c r="AJ29" t="str">
        <f>AL4</f>
        <v>ピッチ</v>
      </c>
      <c r="AK29" t="str">
        <f>AI4</f>
        <v>内径</v>
      </c>
      <c r="AL29" t="str">
        <f>AK4</f>
        <v>呼び</v>
      </c>
      <c r="AO29" t="str">
        <f>AH29</f>
        <v>差</v>
      </c>
      <c r="AP29" t="str">
        <f>AI29</f>
        <v>外径
d</v>
      </c>
      <c r="AQ29" t="str">
        <f>AL29</f>
        <v>呼び</v>
      </c>
      <c r="AR29" t="str">
        <f t="shared" ref="AR29:AR50" si="14">AK29</f>
        <v>内径</v>
      </c>
      <c r="AS29" t="str">
        <f>AJ29</f>
        <v>ピッチ</v>
      </c>
      <c r="AT29" t="s">
        <v>799</v>
      </c>
    </row>
    <row r="30" spans="1:65" x14ac:dyDescent="0.4">
      <c r="A30">
        <f t="shared" si="0"/>
        <v>20.79</v>
      </c>
      <c r="B30">
        <f t="shared" si="13"/>
        <v>31.5</v>
      </c>
      <c r="I30">
        <f t="shared" ref="I30:I50" si="15">J30-$H$28</f>
        <v>-6.28</v>
      </c>
      <c r="J30">
        <f>教科書付表!J5</f>
        <v>1</v>
      </c>
      <c r="K30" t="str">
        <f t="shared" ref="K30:K50" si="16">J5</f>
        <v>M1</v>
      </c>
      <c r="Q30">
        <f>教科書掲載表!B29</f>
        <v>1670</v>
      </c>
      <c r="R30">
        <f t="shared" si="2"/>
        <v>1598</v>
      </c>
      <c r="S30">
        <f>教科書掲載表!A29</f>
        <v>56</v>
      </c>
      <c r="T30">
        <f>教科書掲載表!C29</f>
        <v>11.3</v>
      </c>
      <c r="U30">
        <f t="shared" si="3"/>
        <v>51</v>
      </c>
      <c r="V30">
        <f>教科書掲載表!P28</f>
        <v>63</v>
      </c>
      <c r="W30">
        <f>教科書掲載表!E28</f>
        <v>63</v>
      </c>
      <c r="X30">
        <f>教科書掲載表!I28</f>
        <v>406</v>
      </c>
      <c r="Z30">
        <f t="shared" si="10"/>
        <v>14.5</v>
      </c>
      <c r="AA30">
        <f t="shared" si="11"/>
        <v>24</v>
      </c>
      <c r="AB30" t="str">
        <f t="shared" si="12"/>
        <v>M24</v>
      </c>
      <c r="AC30">
        <f>VLOOKUP(AB30,教科書付表!F19:L58,7,FALSE)</f>
        <v>20.751999999999999</v>
      </c>
      <c r="AD30">
        <f>VLOOKUP(AB30,教科書付表!F19:L58,3,FALSE)</f>
        <v>3</v>
      </c>
      <c r="AH30">
        <f>AI30-$AH$28</f>
        <v>-5</v>
      </c>
      <c r="AI30">
        <f>AJ5</f>
        <v>1</v>
      </c>
      <c r="AJ30">
        <f t="shared" ref="AJ30:AJ50" si="17">AL5</f>
        <v>0.25</v>
      </c>
      <c r="AK30">
        <f>AI5</f>
        <v>0.72899999999999998</v>
      </c>
      <c r="AL30" t="str">
        <f t="shared" ref="AL30:AL50" si="18">AK5</f>
        <v>M1</v>
      </c>
      <c r="AO30">
        <f>AP30-$AO$28</f>
        <v>-18.8</v>
      </c>
      <c r="AP30">
        <f t="shared" ref="AP30:AP50" si="19">AI30</f>
        <v>1</v>
      </c>
      <c r="AQ30" t="str">
        <f>AL30</f>
        <v>M1</v>
      </c>
      <c r="AR30">
        <f t="shared" si="14"/>
        <v>0.72899999999999998</v>
      </c>
      <c r="AS30">
        <f t="shared" ref="AS30:AS50" si="20">AJ30</f>
        <v>0.25</v>
      </c>
      <c r="AT30">
        <f>教科書付表!AC32</f>
        <v>0.8</v>
      </c>
    </row>
    <row r="31" spans="1:65" x14ac:dyDescent="0.4">
      <c r="A31">
        <f t="shared" si="0"/>
        <v>29.29</v>
      </c>
      <c r="B31">
        <f t="shared" si="13"/>
        <v>40</v>
      </c>
      <c r="I31">
        <f t="shared" si="15"/>
        <v>-6.08</v>
      </c>
      <c r="J31">
        <f>教科書付表!J7</f>
        <v>1.2</v>
      </c>
      <c r="K31" t="str">
        <f t="shared" si="16"/>
        <v>M1.2</v>
      </c>
      <c r="Q31">
        <f>教科書掲載表!B30</f>
        <v>1910</v>
      </c>
      <c r="R31">
        <f t="shared" si="2"/>
        <v>1838</v>
      </c>
      <c r="S31">
        <f>教科書掲載表!A30</f>
        <v>60</v>
      </c>
      <c r="T31">
        <f>教科書掲載表!C30</f>
        <v>12.9</v>
      </c>
      <c r="Z31">
        <f t="shared" si="10"/>
        <v>20.5</v>
      </c>
      <c r="AA31">
        <f t="shared" si="11"/>
        <v>30</v>
      </c>
      <c r="AB31" t="str">
        <f t="shared" si="12"/>
        <v>M30</v>
      </c>
      <c r="AC31">
        <f>VLOOKUP(AB31,教科書付表!F20:L59,7,FALSE)</f>
        <v>26.210999999999999</v>
      </c>
      <c r="AD31">
        <f>VLOOKUP(AB31,教科書付表!F20:L59,3,FALSE)</f>
        <v>3.5</v>
      </c>
      <c r="AH31">
        <f t="shared" ref="AH31:AH50" si="21">AI31-$AH$28</f>
        <v>6</v>
      </c>
      <c r="AI31">
        <f t="shared" ref="AI31:AI50" si="22">AJ6</f>
        <v>12</v>
      </c>
      <c r="AJ31">
        <f t="shared" si="17"/>
        <v>0.25</v>
      </c>
      <c r="AK31">
        <f t="shared" ref="AK31:AK50" si="23">AI6</f>
        <v>0.92900000000000005</v>
      </c>
      <c r="AL31" t="str">
        <f t="shared" si="18"/>
        <v>M1.2</v>
      </c>
      <c r="AO31">
        <f t="shared" ref="AO31:AO50" si="24">AP31-$AO$28</f>
        <v>-7.8000000000000007</v>
      </c>
      <c r="AP31">
        <f t="shared" si="19"/>
        <v>12</v>
      </c>
      <c r="AQ31" t="str">
        <f t="shared" ref="AQ31:AQ50" si="25">AL31</f>
        <v>M1.2</v>
      </c>
      <c r="AR31">
        <f t="shared" si="14"/>
        <v>0.92900000000000005</v>
      </c>
      <c r="AS31">
        <f t="shared" si="20"/>
        <v>0.25</v>
      </c>
      <c r="AT31">
        <f>教科書付表!AD32</f>
        <v>1</v>
      </c>
    </row>
    <row r="32" spans="1:65" x14ac:dyDescent="0.4">
      <c r="A32">
        <f t="shared" si="0"/>
        <v>39.29</v>
      </c>
      <c r="B32">
        <f t="shared" si="13"/>
        <v>50</v>
      </c>
      <c r="I32">
        <f t="shared" si="15"/>
        <v>-5.68</v>
      </c>
      <c r="J32">
        <f>教科書付表!J9</f>
        <v>1.6</v>
      </c>
      <c r="K32" t="str">
        <f t="shared" si="16"/>
        <v>M1.6</v>
      </c>
      <c r="Q32">
        <f>教科書掲載表!B31</f>
        <v>2110</v>
      </c>
      <c r="R32">
        <f t="shared" si="2"/>
        <v>2038</v>
      </c>
      <c r="S32">
        <f>教科書掲載表!A31</f>
        <v>63</v>
      </c>
      <c r="T32">
        <f>教科書掲載表!C31</f>
        <v>14.3</v>
      </c>
      <c r="Z32">
        <f t="shared" si="10"/>
        <v>26.5</v>
      </c>
      <c r="AA32">
        <f t="shared" si="11"/>
        <v>36</v>
      </c>
      <c r="AB32" t="str">
        <f t="shared" si="12"/>
        <v>M36</v>
      </c>
      <c r="AC32">
        <f>VLOOKUP(AB32,教科書付表!F21:L60,7,FALSE)</f>
        <v>31.67</v>
      </c>
      <c r="AD32">
        <f>VLOOKUP(AB32,教科書付表!F21:L60,3,FALSE)</f>
        <v>4</v>
      </c>
      <c r="AH32">
        <f t="shared" si="21"/>
        <v>-4.4000000000000004</v>
      </c>
      <c r="AI32">
        <f t="shared" si="22"/>
        <v>1.6</v>
      </c>
      <c r="AJ32">
        <f t="shared" si="17"/>
        <v>0.35</v>
      </c>
      <c r="AK32">
        <f t="shared" si="23"/>
        <v>1.2210000000000001</v>
      </c>
      <c r="AL32" t="str">
        <f t="shared" si="18"/>
        <v>M1.6</v>
      </c>
      <c r="AO32">
        <f t="shared" si="24"/>
        <v>-18.2</v>
      </c>
      <c r="AP32">
        <f t="shared" si="19"/>
        <v>1.6</v>
      </c>
      <c r="AQ32" t="str">
        <f t="shared" si="25"/>
        <v>M1.6</v>
      </c>
      <c r="AR32">
        <f t="shared" si="14"/>
        <v>1.2210000000000001</v>
      </c>
      <c r="AS32">
        <f t="shared" si="20"/>
        <v>0.35</v>
      </c>
      <c r="AT32">
        <f>HLOOKUP(AQ32,教科書付表!$AA$7:$AS$20,10)</f>
        <v>1.3</v>
      </c>
    </row>
    <row r="33" spans="1:46" x14ac:dyDescent="0.4">
      <c r="A33">
        <f t="shared" si="0"/>
        <v>52.29</v>
      </c>
      <c r="B33">
        <f t="shared" si="13"/>
        <v>63</v>
      </c>
      <c r="I33">
        <f t="shared" si="15"/>
        <v>-5.28</v>
      </c>
      <c r="J33">
        <f>教科書付表!J11</f>
        <v>2</v>
      </c>
      <c r="K33" t="str">
        <f t="shared" si="16"/>
        <v>M2</v>
      </c>
      <c r="Z33">
        <f t="shared" si="10"/>
        <v>32.5</v>
      </c>
      <c r="AA33">
        <f t="shared" si="11"/>
        <v>42</v>
      </c>
      <c r="AB33" t="str">
        <f t="shared" si="12"/>
        <v>M42</v>
      </c>
      <c r="AC33">
        <f>VLOOKUP(AB33,教科書付表!F22:L61,7,FALSE)</f>
        <v>37.128999999999998</v>
      </c>
      <c r="AD33">
        <f>VLOOKUP(AB33,教科書付表!F22:L61,3,FALSE)</f>
        <v>4.5</v>
      </c>
      <c r="AH33">
        <f t="shared" si="21"/>
        <v>-4</v>
      </c>
      <c r="AI33">
        <f t="shared" si="22"/>
        <v>2</v>
      </c>
      <c r="AJ33">
        <f t="shared" si="17"/>
        <v>0.4</v>
      </c>
      <c r="AK33">
        <f t="shared" si="23"/>
        <v>1.5669999999999999</v>
      </c>
      <c r="AL33" t="str">
        <f t="shared" si="18"/>
        <v>M2</v>
      </c>
      <c r="AO33">
        <f t="shared" si="24"/>
        <v>-17.8</v>
      </c>
      <c r="AP33">
        <f t="shared" si="19"/>
        <v>2</v>
      </c>
      <c r="AQ33" t="str">
        <f t="shared" si="25"/>
        <v>M2</v>
      </c>
      <c r="AR33">
        <f t="shared" si="14"/>
        <v>1.5669999999999999</v>
      </c>
      <c r="AS33">
        <f t="shared" si="20"/>
        <v>0.4</v>
      </c>
      <c r="AT33">
        <f>HLOOKUP(AQ33,教科書付表!$AA$7:$AS$20,10)</f>
        <v>14.8</v>
      </c>
    </row>
    <row r="34" spans="1:46" x14ac:dyDescent="0.4">
      <c r="A34">
        <f t="shared" si="0"/>
        <v>69.289999999999992</v>
      </c>
      <c r="B34">
        <f t="shared" si="13"/>
        <v>80</v>
      </c>
      <c r="I34">
        <f t="shared" si="15"/>
        <v>-4.78</v>
      </c>
      <c r="J34">
        <f>教科書付表!J13</f>
        <v>2.5</v>
      </c>
      <c r="K34" t="str">
        <f t="shared" si="16"/>
        <v>M2.5</v>
      </c>
      <c r="O34" t="s">
        <v>800</v>
      </c>
      <c r="P34" t="str">
        <f>$G$52</f>
        <v>正の最小値</v>
      </c>
      <c r="Q34" t="s">
        <v>59</v>
      </c>
      <c r="R34" t="s">
        <v>59</v>
      </c>
      <c r="Z34">
        <f t="shared" si="10"/>
        <v>38.5</v>
      </c>
      <c r="AA34">
        <f t="shared" si="11"/>
        <v>48</v>
      </c>
      <c r="AB34" t="str">
        <f t="shared" si="12"/>
        <v>M48</v>
      </c>
      <c r="AC34">
        <f>VLOOKUP(AB34,教科書付表!F23:L62,7,FALSE)</f>
        <v>42.587000000000003</v>
      </c>
      <c r="AD34">
        <f>VLOOKUP(AB34,教科書付表!F23:L62,3,FALSE)</f>
        <v>5</v>
      </c>
      <c r="AH34">
        <f t="shared" si="21"/>
        <v>-3.5</v>
      </c>
      <c r="AI34">
        <f t="shared" si="22"/>
        <v>2.5</v>
      </c>
      <c r="AJ34">
        <f t="shared" si="17"/>
        <v>0.45</v>
      </c>
      <c r="AK34">
        <f t="shared" si="23"/>
        <v>2.0129999999999999</v>
      </c>
      <c r="AL34" t="str">
        <f t="shared" si="18"/>
        <v>M2.5</v>
      </c>
      <c r="AO34">
        <f t="shared" si="24"/>
        <v>-17.3</v>
      </c>
      <c r="AP34">
        <f t="shared" si="19"/>
        <v>2.5</v>
      </c>
      <c r="AQ34" t="str">
        <f t="shared" si="25"/>
        <v>M2.5</v>
      </c>
      <c r="AR34">
        <f t="shared" si="14"/>
        <v>2.0129999999999999</v>
      </c>
      <c r="AS34">
        <f t="shared" si="20"/>
        <v>0.45</v>
      </c>
      <c r="AT34">
        <f>HLOOKUP(AQ34,教科書付表!$AA$7:$AS$20,10)</f>
        <v>14.8</v>
      </c>
    </row>
    <row r="35" spans="1:46" x14ac:dyDescent="0.4">
      <c r="A35">
        <f t="shared" si="0"/>
        <v>89.289999999999992</v>
      </c>
      <c r="B35">
        <f t="shared" si="13"/>
        <v>100</v>
      </c>
      <c r="I35">
        <f t="shared" si="15"/>
        <v>-4.28</v>
      </c>
      <c r="J35">
        <f>教科書付表!J14</f>
        <v>3</v>
      </c>
      <c r="K35" t="str">
        <f t="shared" si="16"/>
        <v>M3</v>
      </c>
      <c r="O35">
        <f>'6章'!L2</f>
        <v>7.5</v>
      </c>
      <c r="P35">
        <f>SMALL(O37:O52,COUNTIF(O37:O52,"&lt;=0"))</f>
        <v>0</v>
      </c>
      <c r="Q35">
        <f>VLOOKUP(P35,O37:P52,2)</f>
        <v>7.5</v>
      </c>
      <c r="R35">
        <f>VLOOKUP(P35,O37:Q52,3)</f>
        <v>8</v>
      </c>
      <c r="Z35">
        <f t="shared" si="10"/>
        <v>46.5</v>
      </c>
      <c r="AA35">
        <f t="shared" si="11"/>
        <v>56</v>
      </c>
      <c r="AB35" t="str">
        <f t="shared" si="12"/>
        <v>M56</v>
      </c>
      <c r="AC35">
        <f>VLOOKUP(AB35,教科書付表!F24:L63,7,FALSE)</f>
        <v>50.045999999999999</v>
      </c>
      <c r="AD35">
        <f>VLOOKUP(AB35,教科書付表!F24:L63,3,FALSE)</f>
        <v>5.5</v>
      </c>
      <c r="AH35">
        <f t="shared" si="21"/>
        <v>-3</v>
      </c>
      <c r="AI35">
        <f t="shared" si="22"/>
        <v>3</v>
      </c>
      <c r="AJ35">
        <f t="shared" si="17"/>
        <v>0.5</v>
      </c>
      <c r="AK35">
        <f t="shared" si="23"/>
        <v>2.4590000000000001</v>
      </c>
      <c r="AL35" t="str">
        <f t="shared" si="18"/>
        <v>M3</v>
      </c>
      <c r="AO35">
        <f t="shared" si="24"/>
        <v>-16.8</v>
      </c>
      <c r="AP35">
        <f t="shared" si="19"/>
        <v>3</v>
      </c>
      <c r="AQ35" t="str">
        <f t="shared" si="25"/>
        <v>M3</v>
      </c>
      <c r="AR35">
        <f t="shared" si="14"/>
        <v>2.4590000000000001</v>
      </c>
      <c r="AS35">
        <f t="shared" si="20"/>
        <v>0.5</v>
      </c>
      <c r="AT35">
        <f>HLOOKUP(AQ35,教科書付表!$AA$7:$AS$20,10)</f>
        <v>21.5</v>
      </c>
    </row>
    <row r="36" spans="1:46" x14ac:dyDescent="0.4">
      <c r="A36">
        <f t="shared" si="0"/>
        <v>114.28999999999999</v>
      </c>
      <c r="B36">
        <f t="shared" si="13"/>
        <v>125</v>
      </c>
      <c r="I36">
        <f t="shared" si="15"/>
        <v>-3.2800000000000002</v>
      </c>
      <c r="J36">
        <f>教科書付表!J16</f>
        <v>4</v>
      </c>
      <c r="K36" t="str">
        <f t="shared" si="16"/>
        <v>M4</v>
      </c>
      <c r="O36" t="s">
        <v>786</v>
      </c>
      <c r="P36" t="str">
        <f>教科書掲載表!T3</f>
        <v>d</v>
      </c>
      <c r="Q36" t="str">
        <f>教科書掲載表!T2</f>
        <v>呼び径</v>
      </c>
      <c r="Z36">
        <f t="shared" si="10"/>
        <v>54.5</v>
      </c>
      <c r="AA36">
        <f t="shared" si="11"/>
        <v>64</v>
      </c>
      <c r="AB36" t="str">
        <f t="shared" si="12"/>
        <v>M64</v>
      </c>
      <c r="AC36">
        <f>VLOOKUP(AB36,教科書付表!F25:L64,7,FALSE)</f>
        <v>57.505000000000003</v>
      </c>
      <c r="AD36">
        <f>VLOOKUP(AB36,教科書付表!F25:L64,3,FALSE)</f>
        <v>6</v>
      </c>
      <c r="AH36">
        <f t="shared" si="21"/>
        <v>-2</v>
      </c>
      <c r="AI36">
        <f t="shared" si="22"/>
        <v>4</v>
      </c>
      <c r="AJ36">
        <f t="shared" si="17"/>
        <v>0.7</v>
      </c>
      <c r="AK36">
        <f t="shared" si="23"/>
        <v>3.242</v>
      </c>
      <c r="AL36" t="str">
        <f t="shared" si="18"/>
        <v>M4</v>
      </c>
      <c r="AO36">
        <f t="shared" si="24"/>
        <v>-15.8</v>
      </c>
      <c r="AP36">
        <f t="shared" si="19"/>
        <v>4</v>
      </c>
      <c r="AQ36" t="str">
        <f t="shared" si="25"/>
        <v>M4</v>
      </c>
      <c r="AR36">
        <f t="shared" si="14"/>
        <v>3.242</v>
      </c>
      <c r="AS36">
        <f t="shared" si="20"/>
        <v>0.7</v>
      </c>
      <c r="AT36">
        <f>HLOOKUP(AQ36,教科書付表!$AA$7:$AS$20,10)</f>
        <v>31</v>
      </c>
    </row>
    <row r="37" spans="1:46" x14ac:dyDescent="0.4">
      <c r="A37">
        <f t="shared" ref="A37:A65" si="26">B37-$A$3</f>
        <v>149.29</v>
      </c>
      <c r="B37">
        <f t="shared" si="13"/>
        <v>160</v>
      </c>
      <c r="I37">
        <f t="shared" si="15"/>
        <v>-2.2800000000000002</v>
      </c>
      <c r="J37">
        <f>教科書付表!J18</f>
        <v>5</v>
      </c>
      <c r="K37" t="str">
        <f t="shared" si="16"/>
        <v>M5</v>
      </c>
      <c r="O37">
        <f>P37-$O$35</f>
        <v>-7</v>
      </c>
      <c r="P37">
        <f>教科書掲載表!W3</f>
        <v>0.5</v>
      </c>
      <c r="Q37">
        <f>教科書掲載表!W2</f>
        <v>0.6</v>
      </c>
      <c r="AH37">
        <f t="shared" si="21"/>
        <v>-1</v>
      </c>
      <c r="AI37">
        <f t="shared" si="22"/>
        <v>5</v>
      </c>
      <c r="AJ37">
        <f t="shared" si="17"/>
        <v>0.8</v>
      </c>
      <c r="AK37">
        <f t="shared" si="23"/>
        <v>4.1340000000000003</v>
      </c>
      <c r="AL37" t="str">
        <f t="shared" si="18"/>
        <v>M5</v>
      </c>
      <c r="AO37">
        <f t="shared" si="24"/>
        <v>-14.8</v>
      </c>
      <c r="AP37">
        <f t="shared" si="19"/>
        <v>5</v>
      </c>
      <c r="AQ37" t="str">
        <f t="shared" si="25"/>
        <v>M5</v>
      </c>
      <c r="AR37">
        <f t="shared" si="14"/>
        <v>4.1340000000000003</v>
      </c>
      <c r="AS37">
        <f t="shared" si="20"/>
        <v>0.8</v>
      </c>
      <c r="AT37">
        <f>HLOOKUP(AQ37,教科書付表!$AA$7:$AS$20,10)</f>
        <v>38</v>
      </c>
    </row>
    <row r="38" spans="1:46" x14ac:dyDescent="0.4">
      <c r="A38">
        <f t="shared" si="26"/>
        <v>189.29</v>
      </c>
      <c r="B38">
        <f t="shared" si="13"/>
        <v>200</v>
      </c>
      <c r="I38">
        <f t="shared" si="15"/>
        <v>-1.2800000000000002</v>
      </c>
      <c r="J38">
        <f>教科書付表!J19</f>
        <v>6</v>
      </c>
      <c r="K38" t="str">
        <f t="shared" si="16"/>
        <v>M6</v>
      </c>
      <c r="O38">
        <f t="shared" ref="O38:O52" si="27">P38-$O$35</f>
        <v>-6.8</v>
      </c>
      <c r="P38">
        <f>教科書掲載表!X3</f>
        <v>0.7</v>
      </c>
      <c r="Q38">
        <f>教科書掲載表!X2</f>
        <v>0.8</v>
      </c>
      <c r="W38" t="s">
        <v>784</v>
      </c>
      <c r="X38" t="s">
        <v>780</v>
      </c>
      <c r="Y38" t="s">
        <v>769</v>
      </c>
      <c r="AH38">
        <f t="shared" si="21"/>
        <v>0</v>
      </c>
      <c r="AI38">
        <f t="shared" si="22"/>
        <v>6</v>
      </c>
      <c r="AJ38">
        <f t="shared" si="17"/>
        <v>1</v>
      </c>
      <c r="AK38">
        <f t="shared" si="23"/>
        <v>4.9169999999999998</v>
      </c>
      <c r="AL38" t="str">
        <f t="shared" si="18"/>
        <v>M6</v>
      </c>
      <c r="AO38">
        <f t="shared" si="24"/>
        <v>-13.8</v>
      </c>
      <c r="AP38">
        <f t="shared" si="19"/>
        <v>6</v>
      </c>
      <c r="AQ38" t="str">
        <f t="shared" si="25"/>
        <v>M6</v>
      </c>
      <c r="AR38">
        <f t="shared" si="14"/>
        <v>4.9169999999999998</v>
      </c>
      <c r="AS38">
        <f t="shared" si="20"/>
        <v>1</v>
      </c>
      <c r="AT38">
        <f>HLOOKUP(AQ38,教科書付表!$AA$7:$AS$20,10)</f>
        <v>45</v>
      </c>
    </row>
    <row r="39" spans="1:46" x14ac:dyDescent="0.4">
      <c r="A39">
        <f t="shared" si="26"/>
        <v>239.29</v>
      </c>
      <c r="B39">
        <f t="shared" si="13"/>
        <v>250</v>
      </c>
      <c r="I39">
        <f t="shared" si="15"/>
        <v>0.71999999999999975</v>
      </c>
      <c r="J39">
        <f>教科書付表!J21</f>
        <v>8</v>
      </c>
      <c r="K39" t="str">
        <f t="shared" si="16"/>
        <v>M8</v>
      </c>
      <c r="O39">
        <f t="shared" si="27"/>
        <v>-6.6</v>
      </c>
      <c r="P39">
        <f>教科書掲載表!Y3</f>
        <v>0.9</v>
      </c>
      <c r="Q39">
        <f>教科書掲載表!Y2</f>
        <v>1</v>
      </c>
      <c r="W39">
        <f>ROUND('例題7.5'!A30/1.7,0)</f>
        <v>6</v>
      </c>
      <c r="X39">
        <f>IF(SMALL(W41:W73,COUNTIF(W41:W73,"&lt;=0"))=0,SMALL(W41:W73,COUNTIF(W41:W73,"&lt;=0")),SMALL(W41:W73,COUNTIF(W41:W73,"&lt;=0")+1))</f>
        <v>0</v>
      </c>
      <c r="Y39">
        <f>VLOOKUP(X39,W41:X61,2,FALSE)</f>
        <v>6</v>
      </c>
      <c r="AH39">
        <f t="shared" si="21"/>
        <v>2</v>
      </c>
      <c r="AI39">
        <f t="shared" si="22"/>
        <v>8</v>
      </c>
      <c r="AJ39">
        <f t="shared" si="17"/>
        <v>1.25</v>
      </c>
      <c r="AK39">
        <f t="shared" si="23"/>
        <v>6.6470000000000002</v>
      </c>
      <c r="AL39" t="str">
        <f t="shared" si="18"/>
        <v>M8</v>
      </c>
      <c r="AO39">
        <f t="shared" si="24"/>
        <v>-11.8</v>
      </c>
      <c r="AP39">
        <f t="shared" si="19"/>
        <v>8</v>
      </c>
      <c r="AQ39" t="str">
        <f t="shared" si="25"/>
        <v>M8</v>
      </c>
      <c r="AR39">
        <f t="shared" si="14"/>
        <v>6.6470000000000002</v>
      </c>
      <c r="AS39">
        <f t="shared" si="20"/>
        <v>1.25</v>
      </c>
      <c r="AT39">
        <f>HLOOKUP(AQ39,教科書付表!$AA$7:$AS$20,10)</f>
        <v>51</v>
      </c>
    </row>
    <row r="40" spans="1:46" x14ac:dyDescent="0.4">
      <c r="A40">
        <f t="shared" si="26"/>
        <v>304.29000000000002</v>
      </c>
      <c r="B40">
        <f t="shared" si="13"/>
        <v>315</v>
      </c>
      <c r="I40">
        <f t="shared" si="15"/>
        <v>2.7199999999999998</v>
      </c>
      <c r="J40">
        <f>教科書付表!J23</f>
        <v>10</v>
      </c>
      <c r="K40" t="str">
        <f t="shared" si="16"/>
        <v>M10</v>
      </c>
      <c r="O40">
        <f t="shared" si="27"/>
        <v>-6.5</v>
      </c>
      <c r="P40">
        <f>教科書掲載表!Z3</f>
        <v>1</v>
      </c>
      <c r="Q40">
        <f>教科書掲載表!Z2</f>
        <v>1.2</v>
      </c>
      <c r="W40" t="s">
        <v>786</v>
      </c>
      <c r="X40" t="str">
        <f>AI29</f>
        <v>外径
d</v>
      </c>
      <c r="AH40">
        <f t="shared" si="21"/>
        <v>4</v>
      </c>
      <c r="AI40">
        <f t="shared" si="22"/>
        <v>10</v>
      </c>
      <c r="AJ40">
        <f t="shared" si="17"/>
        <v>1.5</v>
      </c>
      <c r="AK40">
        <f t="shared" si="23"/>
        <v>8.3759999999999994</v>
      </c>
      <c r="AL40" t="str">
        <f t="shared" si="18"/>
        <v>M10</v>
      </c>
      <c r="AO40">
        <f t="shared" si="24"/>
        <v>-9.8000000000000007</v>
      </c>
      <c r="AP40">
        <f t="shared" si="19"/>
        <v>10</v>
      </c>
      <c r="AQ40" t="str">
        <f t="shared" si="25"/>
        <v>M10</v>
      </c>
      <c r="AR40">
        <f t="shared" si="14"/>
        <v>8.3759999999999994</v>
      </c>
      <c r="AS40">
        <f t="shared" si="20"/>
        <v>1.5</v>
      </c>
      <c r="AT40">
        <f>HLOOKUP(AQ40,教科書付表!$AA$7:$AS$20,10)</f>
        <v>1.3</v>
      </c>
    </row>
    <row r="41" spans="1:46" x14ac:dyDescent="0.4">
      <c r="A41">
        <f t="shared" si="26"/>
        <v>389.29</v>
      </c>
      <c r="B41">
        <f t="shared" si="13"/>
        <v>400</v>
      </c>
      <c r="I41">
        <f t="shared" si="15"/>
        <v>4.72</v>
      </c>
      <c r="J41">
        <f>教科書付表!J25</f>
        <v>12</v>
      </c>
      <c r="K41" t="str">
        <f t="shared" si="16"/>
        <v>M12</v>
      </c>
      <c r="O41">
        <f t="shared" si="27"/>
        <v>-6.1</v>
      </c>
      <c r="P41">
        <f>教科書掲載表!AA3</f>
        <v>1.4</v>
      </c>
      <c r="Q41">
        <f>教科書掲載表!AA2</f>
        <v>1.6</v>
      </c>
      <c r="W41">
        <f>X41-$W$39</f>
        <v>-5</v>
      </c>
      <c r="X41">
        <f t="shared" ref="X41:X61" si="28">AI30</f>
        <v>1</v>
      </c>
      <c r="AH41">
        <f t="shared" si="21"/>
        <v>6</v>
      </c>
      <c r="AI41">
        <f t="shared" si="22"/>
        <v>12</v>
      </c>
      <c r="AJ41">
        <f t="shared" si="17"/>
        <v>1.75</v>
      </c>
      <c r="AK41">
        <f t="shared" si="23"/>
        <v>10.106</v>
      </c>
      <c r="AL41" t="str">
        <f t="shared" si="18"/>
        <v>M12</v>
      </c>
      <c r="AO41">
        <f t="shared" si="24"/>
        <v>-7.8000000000000007</v>
      </c>
      <c r="AP41">
        <f t="shared" si="19"/>
        <v>12</v>
      </c>
      <c r="AQ41" t="str">
        <f t="shared" si="25"/>
        <v>M12</v>
      </c>
      <c r="AR41">
        <f t="shared" si="14"/>
        <v>10.106</v>
      </c>
      <c r="AS41">
        <f t="shared" si="20"/>
        <v>1.75</v>
      </c>
      <c r="AT41">
        <f>HLOOKUP(AQ41,教科書付表!$AA$7:$AS$20,10)</f>
        <v>10.8</v>
      </c>
    </row>
    <row r="42" spans="1:46" x14ac:dyDescent="0.4">
      <c r="A42">
        <f t="shared" si="26"/>
        <v>489.29</v>
      </c>
      <c r="B42">
        <f t="shared" si="13"/>
        <v>500</v>
      </c>
      <c r="I42">
        <f t="shared" si="15"/>
        <v>8.7199999999999989</v>
      </c>
      <c r="J42">
        <f>教科書付表!J27</f>
        <v>16</v>
      </c>
      <c r="K42" t="str">
        <f t="shared" si="16"/>
        <v>M16</v>
      </c>
      <c r="O42">
        <f t="shared" si="27"/>
        <v>-5.7</v>
      </c>
      <c r="P42">
        <f>教科書掲載表!AB3</f>
        <v>1.8</v>
      </c>
      <c r="Q42">
        <f>教科書掲載表!AB2</f>
        <v>2</v>
      </c>
      <c r="W42">
        <f t="shared" ref="W42:W61" si="29">X42-$W$39</f>
        <v>6</v>
      </c>
      <c r="X42">
        <f t="shared" si="28"/>
        <v>12</v>
      </c>
      <c r="AH42">
        <f t="shared" si="21"/>
        <v>10</v>
      </c>
      <c r="AI42">
        <f t="shared" si="22"/>
        <v>16</v>
      </c>
      <c r="AJ42">
        <f t="shared" si="17"/>
        <v>2</v>
      </c>
      <c r="AK42">
        <f t="shared" si="23"/>
        <v>13.835000000000001</v>
      </c>
      <c r="AL42" t="str">
        <f t="shared" si="18"/>
        <v>M16</v>
      </c>
      <c r="AO42">
        <f t="shared" si="24"/>
        <v>-3.8000000000000007</v>
      </c>
      <c r="AP42">
        <f t="shared" si="19"/>
        <v>16</v>
      </c>
      <c r="AQ42" t="str">
        <f t="shared" si="25"/>
        <v>M16</v>
      </c>
      <c r="AR42">
        <f t="shared" si="14"/>
        <v>13.835000000000001</v>
      </c>
      <c r="AS42">
        <f t="shared" si="20"/>
        <v>2</v>
      </c>
      <c r="AT42">
        <f>HLOOKUP(AQ42,教科書付表!$AA$7:$AS$20,10)</f>
        <v>14.8</v>
      </c>
    </row>
    <row r="43" spans="1:46" x14ac:dyDescent="0.4">
      <c r="A43">
        <f t="shared" si="26"/>
        <v>619.29</v>
      </c>
      <c r="B43">
        <f t="shared" si="13"/>
        <v>630</v>
      </c>
      <c r="I43">
        <f t="shared" si="15"/>
        <v>12.719999999999999</v>
      </c>
      <c r="J43">
        <f>教科書付表!J29</f>
        <v>20</v>
      </c>
      <c r="K43" t="str">
        <f t="shared" si="16"/>
        <v>M20</v>
      </c>
      <c r="O43">
        <f t="shared" si="27"/>
        <v>-5.2</v>
      </c>
      <c r="P43">
        <f>教科書掲載表!AC3</f>
        <v>2.2999999999999998</v>
      </c>
      <c r="Q43">
        <f>教科書掲載表!AC2</f>
        <v>2.5</v>
      </c>
      <c r="W43">
        <f t="shared" si="29"/>
        <v>-4.4000000000000004</v>
      </c>
      <c r="X43">
        <f t="shared" si="28"/>
        <v>1.6</v>
      </c>
      <c r="AH43">
        <f t="shared" si="21"/>
        <v>14</v>
      </c>
      <c r="AI43">
        <f t="shared" si="22"/>
        <v>20</v>
      </c>
      <c r="AJ43">
        <f t="shared" si="17"/>
        <v>2.5</v>
      </c>
      <c r="AK43">
        <f t="shared" si="23"/>
        <v>17.294</v>
      </c>
      <c r="AL43" t="str">
        <f t="shared" si="18"/>
        <v>M20</v>
      </c>
      <c r="AO43">
        <f t="shared" si="24"/>
        <v>0.19999999999999929</v>
      </c>
      <c r="AP43">
        <f t="shared" si="19"/>
        <v>20</v>
      </c>
      <c r="AQ43" t="str">
        <f t="shared" si="25"/>
        <v>M20</v>
      </c>
      <c r="AR43">
        <f t="shared" si="14"/>
        <v>17.294</v>
      </c>
      <c r="AS43">
        <f t="shared" si="20"/>
        <v>2.5</v>
      </c>
      <c r="AT43">
        <f>HLOOKUP(AQ43,教科書付表!$AA$7:$AS$20,10)</f>
        <v>18</v>
      </c>
    </row>
    <row r="44" spans="1:46" x14ac:dyDescent="0.4">
      <c r="A44">
        <f t="shared" si="26"/>
        <v>789.29</v>
      </c>
      <c r="B44">
        <f t="shared" si="13"/>
        <v>800</v>
      </c>
      <c r="I44">
        <f t="shared" si="15"/>
        <v>16.72</v>
      </c>
      <c r="J44">
        <f>教科書付表!J31</f>
        <v>24</v>
      </c>
      <c r="K44" t="str">
        <f t="shared" si="16"/>
        <v>M24</v>
      </c>
      <c r="O44">
        <f t="shared" si="27"/>
        <v>-4.5999999999999996</v>
      </c>
      <c r="P44">
        <f>教科書掲載表!AD3</f>
        <v>2.9</v>
      </c>
      <c r="Q44">
        <f>教科書掲載表!AD2</f>
        <v>3.2</v>
      </c>
      <c r="W44">
        <f t="shared" si="29"/>
        <v>-4</v>
      </c>
      <c r="X44">
        <f t="shared" si="28"/>
        <v>2</v>
      </c>
      <c r="AH44">
        <f t="shared" si="21"/>
        <v>18</v>
      </c>
      <c r="AI44">
        <f t="shared" si="22"/>
        <v>24</v>
      </c>
      <c r="AJ44">
        <f t="shared" si="17"/>
        <v>3</v>
      </c>
      <c r="AK44">
        <f t="shared" si="23"/>
        <v>20.751999999999999</v>
      </c>
      <c r="AL44" t="str">
        <f t="shared" si="18"/>
        <v>M24</v>
      </c>
      <c r="AO44">
        <f t="shared" si="24"/>
        <v>4.1999999999999993</v>
      </c>
      <c r="AP44">
        <f t="shared" si="19"/>
        <v>24</v>
      </c>
      <c r="AQ44" t="str">
        <f t="shared" si="25"/>
        <v>M24</v>
      </c>
      <c r="AR44">
        <f t="shared" si="14"/>
        <v>20.751999999999999</v>
      </c>
      <c r="AS44">
        <f t="shared" si="20"/>
        <v>3</v>
      </c>
      <c r="AT44">
        <f>HLOOKUP(AQ44,教科書付表!$AA$7:$AS$20,10)</f>
        <v>21.5</v>
      </c>
    </row>
    <row r="45" spans="1:46" x14ac:dyDescent="0.4">
      <c r="A45">
        <f t="shared" si="26"/>
        <v>989.29</v>
      </c>
      <c r="B45">
        <f t="shared" si="13"/>
        <v>1000</v>
      </c>
      <c r="I45">
        <f t="shared" si="15"/>
        <v>22.72</v>
      </c>
      <c r="J45">
        <f>教科書付表!J33</f>
        <v>30</v>
      </c>
      <c r="K45" t="str">
        <f t="shared" si="16"/>
        <v>M30</v>
      </c>
      <c r="O45">
        <f t="shared" si="27"/>
        <v>-3.8</v>
      </c>
      <c r="P45">
        <f>教科書掲載表!AE3</f>
        <v>3.7</v>
      </c>
      <c r="Q45">
        <f>教科書掲載表!AE2</f>
        <v>4</v>
      </c>
      <c r="W45">
        <f t="shared" si="29"/>
        <v>-3.5</v>
      </c>
      <c r="X45">
        <f t="shared" si="28"/>
        <v>2.5</v>
      </c>
      <c r="AH45">
        <f t="shared" si="21"/>
        <v>24</v>
      </c>
      <c r="AI45">
        <f t="shared" si="22"/>
        <v>30</v>
      </c>
      <c r="AJ45">
        <f t="shared" si="17"/>
        <v>3.5</v>
      </c>
      <c r="AK45">
        <f t="shared" si="23"/>
        <v>26.210999999999999</v>
      </c>
      <c r="AL45" t="str">
        <f t="shared" si="18"/>
        <v>M30</v>
      </c>
      <c r="AO45">
        <f t="shared" si="24"/>
        <v>10.199999999999999</v>
      </c>
      <c r="AP45">
        <f t="shared" si="19"/>
        <v>30</v>
      </c>
      <c r="AQ45" t="str">
        <f t="shared" si="25"/>
        <v>M30</v>
      </c>
      <c r="AR45">
        <f t="shared" si="14"/>
        <v>26.210999999999999</v>
      </c>
      <c r="AS45">
        <f t="shared" si="20"/>
        <v>3.5</v>
      </c>
      <c r="AT45">
        <f>HLOOKUP(AQ45,教科書付表!$AA$7:$AS$20,10)</f>
        <v>25.6</v>
      </c>
    </row>
    <row r="46" spans="1:46" x14ac:dyDescent="0.4">
      <c r="A46">
        <f t="shared" si="26"/>
        <v>1239.29</v>
      </c>
      <c r="B46">
        <f t="shared" si="13"/>
        <v>1250</v>
      </c>
      <c r="I46">
        <f t="shared" si="15"/>
        <v>28.72</v>
      </c>
      <c r="J46">
        <f>教科書付表!J35</f>
        <v>36</v>
      </c>
      <c r="K46" t="str">
        <f t="shared" si="16"/>
        <v>M36</v>
      </c>
      <c r="O46">
        <f t="shared" si="27"/>
        <v>-2.9000000000000004</v>
      </c>
      <c r="P46">
        <f>教科書掲載表!AF3</f>
        <v>4.5999999999999996</v>
      </c>
      <c r="Q46">
        <f>教科書掲載表!AF2</f>
        <v>5</v>
      </c>
      <c r="W46">
        <f t="shared" si="29"/>
        <v>-3</v>
      </c>
      <c r="X46">
        <f t="shared" si="28"/>
        <v>3</v>
      </c>
      <c r="AH46">
        <f t="shared" si="21"/>
        <v>30</v>
      </c>
      <c r="AI46">
        <f t="shared" si="22"/>
        <v>36</v>
      </c>
      <c r="AJ46">
        <f t="shared" si="17"/>
        <v>4</v>
      </c>
      <c r="AK46">
        <f t="shared" si="23"/>
        <v>31.67</v>
      </c>
      <c r="AL46" t="str">
        <f t="shared" si="18"/>
        <v>M36</v>
      </c>
      <c r="AO46">
        <f t="shared" si="24"/>
        <v>16.2</v>
      </c>
      <c r="AP46">
        <f t="shared" si="19"/>
        <v>36</v>
      </c>
      <c r="AQ46" t="str">
        <f t="shared" si="25"/>
        <v>M36</v>
      </c>
      <c r="AR46">
        <f t="shared" si="14"/>
        <v>31.67</v>
      </c>
      <c r="AS46">
        <f t="shared" si="20"/>
        <v>4</v>
      </c>
      <c r="AT46">
        <f>HLOOKUP(AQ46,教科書付表!$AA$7:$AS$20,10)</f>
        <v>31</v>
      </c>
    </row>
    <row r="47" spans="1:46" x14ac:dyDescent="0.4">
      <c r="A47">
        <f t="shared" si="26"/>
        <v>1589.29</v>
      </c>
      <c r="B47">
        <f t="shared" si="13"/>
        <v>1600</v>
      </c>
      <c r="I47">
        <f t="shared" si="15"/>
        <v>34.72</v>
      </c>
      <c r="J47">
        <f>教科書付表!J37</f>
        <v>42</v>
      </c>
      <c r="K47" t="str">
        <f t="shared" si="16"/>
        <v>M42</v>
      </c>
      <c r="O47">
        <f t="shared" si="27"/>
        <v>-1.5999999999999996</v>
      </c>
      <c r="P47">
        <f>教科書掲載表!AG3</f>
        <v>5.9</v>
      </c>
      <c r="Q47">
        <f>教科書掲載表!AG2</f>
        <v>6.3</v>
      </c>
      <c r="W47">
        <f t="shared" si="29"/>
        <v>-2</v>
      </c>
      <c r="X47">
        <f t="shared" si="28"/>
        <v>4</v>
      </c>
      <c r="AH47">
        <f t="shared" si="21"/>
        <v>36</v>
      </c>
      <c r="AI47">
        <f t="shared" si="22"/>
        <v>42</v>
      </c>
      <c r="AJ47">
        <f t="shared" si="17"/>
        <v>4.5</v>
      </c>
      <c r="AK47">
        <f t="shared" si="23"/>
        <v>37.128999999999998</v>
      </c>
      <c r="AL47" t="str">
        <f t="shared" si="18"/>
        <v>M42</v>
      </c>
      <c r="AO47">
        <f t="shared" si="24"/>
        <v>22.2</v>
      </c>
      <c r="AP47">
        <f t="shared" si="19"/>
        <v>42</v>
      </c>
      <c r="AQ47" t="str">
        <f t="shared" si="25"/>
        <v>M42</v>
      </c>
      <c r="AR47">
        <f t="shared" si="14"/>
        <v>37.128999999999998</v>
      </c>
      <c r="AS47">
        <f t="shared" si="20"/>
        <v>4.5</v>
      </c>
      <c r="AT47">
        <f>HLOOKUP(AQ47,教科書付表!$AA$7:$AS$20,10)</f>
        <v>34</v>
      </c>
    </row>
    <row r="48" spans="1:46" x14ac:dyDescent="0.4">
      <c r="A48">
        <f t="shared" si="26"/>
        <v>1989.29</v>
      </c>
      <c r="B48">
        <f t="shared" si="13"/>
        <v>2000</v>
      </c>
      <c r="I48">
        <f t="shared" si="15"/>
        <v>40.72</v>
      </c>
      <c r="J48">
        <f>教科書付表!J39</f>
        <v>48</v>
      </c>
      <c r="K48" t="str">
        <f t="shared" si="16"/>
        <v>M48</v>
      </c>
      <c r="O48">
        <f t="shared" si="27"/>
        <v>0</v>
      </c>
      <c r="P48">
        <f>教科書掲載表!AH3</f>
        <v>7.5</v>
      </c>
      <c r="Q48">
        <f>教科書掲載表!AH2</f>
        <v>8</v>
      </c>
      <c r="W48">
        <f t="shared" si="29"/>
        <v>-1</v>
      </c>
      <c r="X48">
        <f t="shared" si="28"/>
        <v>5</v>
      </c>
      <c r="AH48">
        <f t="shared" si="21"/>
        <v>42</v>
      </c>
      <c r="AI48">
        <f t="shared" si="22"/>
        <v>48</v>
      </c>
      <c r="AJ48">
        <f t="shared" si="17"/>
        <v>5</v>
      </c>
      <c r="AK48">
        <f t="shared" si="23"/>
        <v>42.587000000000003</v>
      </c>
      <c r="AL48" t="str">
        <f t="shared" si="18"/>
        <v>M48</v>
      </c>
      <c r="AO48">
        <f t="shared" si="24"/>
        <v>28.2</v>
      </c>
      <c r="AP48">
        <f t="shared" si="19"/>
        <v>48</v>
      </c>
      <c r="AQ48" t="str">
        <f t="shared" si="25"/>
        <v>M48</v>
      </c>
      <c r="AR48">
        <f t="shared" si="14"/>
        <v>42.587000000000003</v>
      </c>
      <c r="AS48">
        <f t="shared" si="20"/>
        <v>5</v>
      </c>
      <c r="AT48">
        <f>HLOOKUP(AQ48,教科書付表!$AA$7:$AS$20,10)</f>
        <v>38</v>
      </c>
    </row>
    <row r="49" spans="1:46" x14ac:dyDescent="0.4">
      <c r="A49">
        <f t="shared" si="26"/>
        <v>2489.29</v>
      </c>
      <c r="B49">
        <f t="shared" si="13"/>
        <v>2500</v>
      </c>
      <c r="I49">
        <f t="shared" si="15"/>
        <v>48.72</v>
      </c>
      <c r="J49">
        <f>教科書付表!J41</f>
        <v>56</v>
      </c>
      <c r="K49" t="str">
        <f t="shared" si="16"/>
        <v>M56</v>
      </c>
      <c r="O49">
        <f t="shared" si="27"/>
        <v>2</v>
      </c>
      <c r="P49">
        <f>教科書掲載表!AI3</f>
        <v>9.5</v>
      </c>
      <c r="Q49">
        <f>教科書掲載表!AI2</f>
        <v>10</v>
      </c>
      <c r="W49">
        <f t="shared" si="29"/>
        <v>0</v>
      </c>
      <c r="X49">
        <f t="shared" si="28"/>
        <v>6</v>
      </c>
      <c r="AH49">
        <f t="shared" si="21"/>
        <v>50</v>
      </c>
      <c r="AI49">
        <f t="shared" si="22"/>
        <v>56</v>
      </c>
      <c r="AJ49">
        <f t="shared" si="17"/>
        <v>5.5</v>
      </c>
      <c r="AK49">
        <f t="shared" si="23"/>
        <v>50.045999999999999</v>
      </c>
      <c r="AL49" t="str">
        <f t="shared" si="18"/>
        <v>M56</v>
      </c>
      <c r="AO49">
        <f t="shared" si="24"/>
        <v>36.200000000000003</v>
      </c>
      <c r="AP49">
        <f t="shared" si="19"/>
        <v>56</v>
      </c>
      <c r="AQ49" t="str">
        <f t="shared" si="25"/>
        <v>M56</v>
      </c>
      <c r="AR49">
        <f t="shared" si="14"/>
        <v>50.045999999999999</v>
      </c>
      <c r="AS49">
        <f t="shared" si="20"/>
        <v>5.5</v>
      </c>
      <c r="AT49">
        <f>HLOOKUP(AQ49,教科書付表!$AA$7:$AS$20,10)</f>
        <v>45</v>
      </c>
    </row>
    <row r="50" spans="1:46" x14ac:dyDescent="0.4">
      <c r="A50">
        <f t="shared" si="26"/>
        <v>3139.29</v>
      </c>
      <c r="B50">
        <f t="shared" si="13"/>
        <v>3150</v>
      </c>
      <c r="I50">
        <f t="shared" si="15"/>
        <v>56.72</v>
      </c>
      <c r="J50">
        <f>教科書付表!J43</f>
        <v>64</v>
      </c>
      <c r="K50" t="str">
        <f t="shared" si="16"/>
        <v>M64</v>
      </c>
      <c r="O50">
        <f t="shared" si="27"/>
        <v>4.9000000000000004</v>
      </c>
      <c r="P50">
        <f>教科書掲載表!AJ3</f>
        <v>12.4</v>
      </c>
      <c r="Q50">
        <f>教科書掲載表!AJ2</f>
        <v>13</v>
      </c>
      <c r="W50">
        <f t="shared" si="29"/>
        <v>2</v>
      </c>
      <c r="X50">
        <f t="shared" si="28"/>
        <v>8</v>
      </c>
      <c r="AH50">
        <f t="shared" si="21"/>
        <v>58</v>
      </c>
      <c r="AI50">
        <f t="shared" si="22"/>
        <v>64</v>
      </c>
      <c r="AJ50">
        <f t="shared" si="17"/>
        <v>6</v>
      </c>
      <c r="AK50">
        <f t="shared" si="23"/>
        <v>57.505000000000003</v>
      </c>
      <c r="AL50" t="str">
        <f t="shared" si="18"/>
        <v>M64</v>
      </c>
      <c r="AO50">
        <f t="shared" si="24"/>
        <v>44.2</v>
      </c>
      <c r="AP50">
        <f t="shared" si="19"/>
        <v>64</v>
      </c>
      <c r="AQ50" t="str">
        <f t="shared" si="25"/>
        <v>M64</v>
      </c>
      <c r="AR50">
        <f t="shared" si="14"/>
        <v>57.505000000000003</v>
      </c>
      <c r="AS50">
        <f t="shared" si="20"/>
        <v>6</v>
      </c>
      <c r="AT50">
        <f>HLOOKUP(AQ50,教科書付表!$AA$7:$AS$20,10)</f>
        <v>51</v>
      </c>
    </row>
    <row r="51" spans="1:46" x14ac:dyDescent="0.4">
      <c r="A51">
        <f t="shared" si="26"/>
        <v>3989.29</v>
      </c>
      <c r="B51">
        <f t="shared" si="13"/>
        <v>4000</v>
      </c>
      <c r="O51">
        <f t="shared" si="27"/>
        <v>7.9</v>
      </c>
      <c r="P51">
        <f>教科書掲載表!AK3</f>
        <v>15.4</v>
      </c>
      <c r="Q51">
        <f>教科書掲載表!AK2</f>
        <v>16</v>
      </c>
      <c r="W51">
        <f t="shared" si="29"/>
        <v>4</v>
      </c>
      <c r="X51">
        <f t="shared" si="28"/>
        <v>10</v>
      </c>
    </row>
    <row r="52" spans="1:46" x14ac:dyDescent="0.4">
      <c r="A52">
        <f t="shared" si="26"/>
        <v>4989.29</v>
      </c>
      <c r="B52">
        <f t="shared" si="13"/>
        <v>5000</v>
      </c>
      <c r="F52" t="s">
        <v>801</v>
      </c>
      <c r="G52" t="str">
        <f>J27</f>
        <v>正の最小値</v>
      </c>
      <c r="H52" t="s">
        <v>59</v>
      </c>
      <c r="O52">
        <f t="shared" si="27"/>
        <v>11.8</v>
      </c>
      <c r="P52">
        <f>教科書掲載表!AL3</f>
        <v>19.3</v>
      </c>
      <c r="Q52">
        <f>教科書掲載表!AL2</f>
        <v>20</v>
      </c>
      <c r="W52">
        <f t="shared" si="29"/>
        <v>6</v>
      </c>
      <c r="X52">
        <f t="shared" si="28"/>
        <v>12</v>
      </c>
      <c r="AE52">
        <v>2</v>
      </c>
      <c r="AF52">
        <v>3</v>
      </c>
      <c r="AG52">
        <v>4</v>
      </c>
      <c r="AH52">
        <v>5</v>
      </c>
      <c r="AI52">
        <v>6</v>
      </c>
    </row>
    <row r="53" spans="1:46" x14ac:dyDescent="0.4">
      <c r="A53">
        <f t="shared" si="26"/>
        <v>6289.29</v>
      </c>
      <c r="B53">
        <f t="shared" si="13"/>
        <v>6300</v>
      </c>
      <c r="F53">
        <f>'3章'!G2</f>
        <v>16.690000000000001</v>
      </c>
      <c r="G53">
        <f>SMALL(F55:F75,COUNTIF(F55:F75,"&lt;=0")+1)</f>
        <v>2.3099999999999987</v>
      </c>
      <c r="H53">
        <f>VLOOKUP(G53,F55:H75,2,FALSE)</f>
        <v>19</v>
      </c>
      <c r="W53">
        <f t="shared" si="29"/>
        <v>10</v>
      </c>
      <c r="X53">
        <f t="shared" si="28"/>
        <v>16</v>
      </c>
      <c r="AC53" t="str">
        <f>'例題11.1'!H7</f>
        <v>A=B=</v>
      </c>
      <c r="AD53" t="s">
        <v>780</v>
      </c>
      <c r="AE53" t="str">
        <f>AD55</f>
        <v>A</v>
      </c>
      <c r="AF53" t="str">
        <f>AE55</f>
        <v>B</v>
      </c>
      <c r="AG53" t="str">
        <f t="shared" ref="AG53:AI53" si="30">AF55</f>
        <v>t</v>
      </c>
      <c r="AH53" t="str">
        <f t="shared" si="30"/>
        <v>r1</v>
      </c>
      <c r="AI53" t="str">
        <f t="shared" si="30"/>
        <v>r2</v>
      </c>
      <c r="AR53" t="s">
        <v>17</v>
      </c>
      <c r="AS53" t="s">
        <v>780</v>
      </c>
      <c r="AT53" t="s">
        <v>59</v>
      </c>
    </row>
    <row r="54" spans="1:46" x14ac:dyDescent="0.4">
      <c r="A54">
        <f t="shared" si="26"/>
        <v>7989.29</v>
      </c>
      <c r="B54">
        <f t="shared" si="13"/>
        <v>8000</v>
      </c>
      <c r="F54" t="s">
        <v>786</v>
      </c>
      <c r="G54" t="str">
        <f>教科書掲載表!A34</f>
        <v>丸鋼標準径</v>
      </c>
      <c r="W54">
        <f t="shared" si="29"/>
        <v>14</v>
      </c>
      <c r="X54">
        <f t="shared" si="28"/>
        <v>20</v>
      </c>
      <c r="AC54">
        <f>'例題11.1'!H9</f>
        <v>99</v>
      </c>
      <c r="AD54">
        <f>SMALL(AC56:AC73,COUNTIF(AC56:AC73,"&lt;=0")+1)</f>
        <v>1</v>
      </c>
      <c r="AE54">
        <f>VLOOKUP($AD$54,$AC$56:$AH$73,AE52)</f>
        <v>100</v>
      </c>
      <c r="AF54">
        <f t="shared" ref="AF54:AI54" si="31">VLOOKUP($AD$54,$AC$56:$AH$73,AF52)</f>
        <v>100</v>
      </c>
      <c r="AG54">
        <f t="shared" si="31"/>
        <v>13</v>
      </c>
      <c r="AH54">
        <f t="shared" si="31"/>
        <v>10</v>
      </c>
      <c r="AI54">
        <f t="shared" si="31"/>
        <v>7</v>
      </c>
      <c r="AR54">
        <f>'例題11.1'!A30</f>
        <v>20</v>
      </c>
      <c r="AS54">
        <f>IF(SMALL(AR56:AR110,COUNTIF(AR56:AR110,"&lt;=0"))=0,SMALL(AR56:AR110,COUNTIF(AR56:AR110,"&lt;=0")),SMALL(AR56:AR110,COUNTIF(AR56:AR110,"&lt;=0")+1))</f>
        <v>0</v>
      </c>
      <c r="AT54">
        <f>VLOOKUP(AS54,AR56:AT110,3)</f>
        <v>22</v>
      </c>
    </row>
    <row r="55" spans="1:46" x14ac:dyDescent="0.4">
      <c r="A55">
        <f t="shared" si="26"/>
        <v>9989.2900000000009</v>
      </c>
      <c r="B55">
        <f t="shared" si="13"/>
        <v>10000</v>
      </c>
      <c r="F55">
        <f>G55-$F$53</f>
        <v>-11.190000000000001</v>
      </c>
      <c r="G55">
        <f>教科書掲載表!A35</f>
        <v>5.5</v>
      </c>
      <c r="N55" t="s">
        <v>803</v>
      </c>
      <c r="O55" t="s">
        <v>804</v>
      </c>
      <c r="P55" t="s">
        <v>170</v>
      </c>
      <c r="W55">
        <f t="shared" si="29"/>
        <v>18</v>
      </c>
      <c r="X55">
        <f t="shared" si="28"/>
        <v>24</v>
      </c>
      <c r="AC55" t="str">
        <f>AO29</f>
        <v>差</v>
      </c>
      <c r="AD55" t="str">
        <f>教科書掲載表!X34</f>
        <v>A</v>
      </c>
      <c r="AE55" t="str">
        <f>教科書掲載表!Y34</f>
        <v>B</v>
      </c>
      <c r="AF55" t="str">
        <f>教科書掲載表!Z34</f>
        <v>t</v>
      </c>
      <c r="AG55" t="str">
        <f>教科書掲載表!AA34</f>
        <v>r1</v>
      </c>
      <c r="AH55" t="str">
        <f>教科書掲載表!AB34</f>
        <v>r2</v>
      </c>
      <c r="AR55" t="s">
        <v>786</v>
      </c>
      <c r="AS55" t="str">
        <f>教科書付表!S1</f>
        <v>ねじの呼び径</v>
      </c>
      <c r="AT55" t="str">
        <f>教科書付表!U1</f>
        <v>ボルト穴径dh
2級</v>
      </c>
    </row>
    <row r="56" spans="1:46" x14ac:dyDescent="0.4">
      <c r="A56">
        <f t="shared" si="26"/>
        <v>12489.29</v>
      </c>
      <c r="B56">
        <f t="shared" si="13"/>
        <v>12500</v>
      </c>
      <c r="F56">
        <f t="shared" ref="F56:F98" si="32">G56-$F$53</f>
        <v>-10.690000000000001</v>
      </c>
      <c r="G56">
        <f>教科書掲載表!A36</f>
        <v>6</v>
      </c>
      <c r="N56">
        <f>'例題7.1~7.4'!A16</f>
        <v>80</v>
      </c>
      <c r="O56">
        <f>VLOOKUP(N56,N58:O63,2)</f>
        <v>8</v>
      </c>
      <c r="P56">
        <f>VLOOKUP(N56,N58:P63,3)</f>
        <v>4</v>
      </c>
      <c r="W56">
        <f t="shared" si="29"/>
        <v>24</v>
      </c>
      <c r="X56">
        <f t="shared" si="28"/>
        <v>30</v>
      </c>
      <c r="AC56">
        <f>AD56-$AC$54</f>
        <v>-74</v>
      </c>
      <c r="AD56">
        <f>教科書掲載表!X36</f>
        <v>25</v>
      </c>
      <c r="AE56">
        <f>教科書掲載表!Y36</f>
        <v>25</v>
      </c>
      <c r="AF56">
        <f>教科書掲載表!Z36</f>
        <v>3</v>
      </c>
      <c r="AG56">
        <f>教科書掲載表!AA36</f>
        <v>4</v>
      </c>
      <c r="AH56">
        <f>教科書掲載表!AB36</f>
        <v>2</v>
      </c>
      <c r="AR56">
        <f>AS56-$AR$54</f>
        <v>-19</v>
      </c>
      <c r="AS56">
        <f>教科書付表!S5</f>
        <v>1</v>
      </c>
      <c r="AT56">
        <f>教科書付表!U5</f>
        <v>1.2</v>
      </c>
    </row>
    <row r="57" spans="1:46" x14ac:dyDescent="0.4">
      <c r="A57">
        <f t="shared" si="26"/>
        <v>15989.29</v>
      </c>
      <c r="B57">
        <f t="shared" si="13"/>
        <v>16000</v>
      </c>
      <c r="F57">
        <f t="shared" si="32"/>
        <v>-9.6900000000000013</v>
      </c>
      <c r="G57">
        <f>教科書掲載表!A37</f>
        <v>7</v>
      </c>
      <c r="N57" t="s">
        <v>170</v>
      </c>
      <c r="O57" t="s">
        <v>68</v>
      </c>
      <c r="P57" t="s">
        <v>16</v>
      </c>
      <c r="W57">
        <f t="shared" si="29"/>
        <v>30</v>
      </c>
      <c r="X57">
        <f t="shared" si="28"/>
        <v>36</v>
      </c>
      <c r="AC57">
        <f t="shared" ref="AC57" si="33">AD57-$AC$54</f>
        <v>-69</v>
      </c>
      <c r="AD57">
        <f>教科書掲載表!X37</f>
        <v>30</v>
      </c>
      <c r="AE57">
        <f>教科書掲載表!Y37</f>
        <v>30</v>
      </c>
      <c r="AF57">
        <f>教科書掲載表!Z37</f>
        <v>3</v>
      </c>
      <c r="AG57">
        <f>教科書掲載表!AA37</f>
        <v>4</v>
      </c>
      <c r="AH57">
        <f>教科書掲載表!AB37</f>
        <v>2</v>
      </c>
      <c r="AR57">
        <f t="shared" ref="AR57:AR110" si="34">AS57-$AR$54</f>
        <v>-18.8</v>
      </c>
      <c r="AS57">
        <f>教科書付表!S6</f>
        <v>1.2</v>
      </c>
      <c r="AT57">
        <f>教科書付表!U6</f>
        <v>1.4</v>
      </c>
    </row>
    <row r="58" spans="1:46" x14ac:dyDescent="0.4">
      <c r="A58">
        <f t="shared" si="26"/>
        <v>19989.29</v>
      </c>
      <c r="B58">
        <f t="shared" si="13"/>
        <v>20000</v>
      </c>
      <c r="F58">
        <f t="shared" si="32"/>
        <v>-8.6900000000000013</v>
      </c>
      <c r="G58">
        <f>教科書掲載表!A38</f>
        <v>8</v>
      </c>
      <c r="N58">
        <f>教科書掲載表!V15</f>
        <v>50</v>
      </c>
      <c r="O58">
        <f>教科書掲載表!V19</f>
        <v>5</v>
      </c>
      <c r="P58">
        <f>教科書掲載表!V17</f>
        <v>2</v>
      </c>
      <c r="W58">
        <f t="shared" si="29"/>
        <v>36</v>
      </c>
      <c r="X58">
        <f t="shared" si="28"/>
        <v>42</v>
      </c>
      <c r="AC58">
        <f t="shared" ref="AC58:AC73" si="35">AD58-$AC$54</f>
        <v>-59</v>
      </c>
      <c r="AD58">
        <f>教科書掲載表!X39</f>
        <v>40</v>
      </c>
      <c r="AE58">
        <f>教科書掲載表!Y39</f>
        <v>40</v>
      </c>
      <c r="AF58">
        <f>教科書掲載表!Z39</f>
        <v>5</v>
      </c>
      <c r="AG58">
        <f>教科書掲載表!AA39</f>
        <v>4.5</v>
      </c>
      <c r="AH58">
        <f>教科書掲載表!AB39</f>
        <v>3</v>
      </c>
      <c r="AR58">
        <f t="shared" si="34"/>
        <v>-18.600000000000001</v>
      </c>
      <c r="AS58">
        <f>教科書付表!S7</f>
        <v>1.4</v>
      </c>
      <c r="AT58">
        <f>教科書付表!U7</f>
        <v>1.6</v>
      </c>
    </row>
    <row r="59" spans="1:46" x14ac:dyDescent="0.4">
      <c r="A59">
        <f t="shared" si="26"/>
        <v>24989.29</v>
      </c>
      <c r="B59">
        <f t="shared" si="13"/>
        <v>25000</v>
      </c>
      <c r="F59">
        <f t="shared" si="32"/>
        <v>-7.6900000000000013</v>
      </c>
      <c r="G59">
        <f>教科書掲載表!A39</f>
        <v>9</v>
      </c>
      <c r="N59">
        <f>教科書掲載表!W15</f>
        <v>60</v>
      </c>
      <c r="O59">
        <f>教科書掲載表!W19</f>
        <v>6.5</v>
      </c>
      <c r="P59">
        <f>教科書掲載表!W17</f>
        <v>3</v>
      </c>
      <c r="W59">
        <f t="shared" si="29"/>
        <v>42</v>
      </c>
      <c r="X59">
        <f t="shared" si="28"/>
        <v>48</v>
      </c>
      <c r="AC59">
        <f t="shared" si="35"/>
        <v>-54</v>
      </c>
      <c r="AD59">
        <f>教科書掲載表!X41</f>
        <v>45</v>
      </c>
      <c r="AE59">
        <f>教科書掲載表!Y41</f>
        <v>45</v>
      </c>
      <c r="AF59">
        <f>教科書掲載表!Z41</f>
        <v>5</v>
      </c>
      <c r="AG59">
        <f>教科書掲載表!AA41</f>
        <v>6.5</v>
      </c>
      <c r="AH59">
        <f>教科書掲載表!AB41</f>
        <v>3</v>
      </c>
      <c r="AR59">
        <f t="shared" si="34"/>
        <v>-18.399999999999999</v>
      </c>
      <c r="AS59">
        <f>教科書付表!S8</f>
        <v>1.6</v>
      </c>
      <c r="AT59">
        <f>教科書付表!U8</f>
        <v>1.8</v>
      </c>
    </row>
    <row r="60" spans="1:46" x14ac:dyDescent="0.4">
      <c r="A60">
        <f t="shared" si="26"/>
        <v>31489.29</v>
      </c>
      <c r="B60">
        <f t="shared" si="13"/>
        <v>31500</v>
      </c>
      <c r="F60">
        <f t="shared" si="32"/>
        <v>-6.6900000000000013</v>
      </c>
      <c r="G60">
        <f>教科書掲載表!A40</f>
        <v>10</v>
      </c>
      <c r="N60">
        <f>教科書掲載表!X15</f>
        <v>70</v>
      </c>
      <c r="O60">
        <f>教科書掲載表!X19</f>
        <v>8</v>
      </c>
      <c r="P60">
        <f>教科書掲載表!X17</f>
        <v>3</v>
      </c>
      <c r="W60">
        <f t="shared" si="29"/>
        <v>50</v>
      </c>
      <c r="X60">
        <f t="shared" si="28"/>
        <v>56</v>
      </c>
      <c r="AC60">
        <f t="shared" si="35"/>
        <v>-49</v>
      </c>
      <c r="AD60">
        <f>教科書掲載表!X44</f>
        <v>50</v>
      </c>
      <c r="AE60">
        <f>教科書掲載表!Y44</f>
        <v>50</v>
      </c>
      <c r="AF60">
        <f>教科書掲載表!Z44</f>
        <v>6</v>
      </c>
      <c r="AG60">
        <f>教科書掲載表!AA44</f>
        <v>6.5</v>
      </c>
      <c r="AH60">
        <f>教科書掲載表!AB44</f>
        <v>4.5</v>
      </c>
      <c r="AR60">
        <f t="shared" si="34"/>
        <v>-18.3</v>
      </c>
      <c r="AS60">
        <f>教科書付表!S9</f>
        <v>1.7</v>
      </c>
      <c r="AT60">
        <f>教科書付表!U9</f>
        <v>2</v>
      </c>
    </row>
    <row r="61" spans="1:46" x14ac:dyDescent="0.4">
      <c r="A61">
        <f t="shared" si="26"/>
        <v>39989.29</v>
      </c>
      <c r="B61">
        <f t="shared" si="13"/>
        <v>40000</v>
      </c>
      <c r="F61">
        <f t="shared" si="32"/>
        <v>-5.6900000000000013</v>
      </c>
      <c r="G61">
        <f>教科書掲載表!A41</f>
        <v>11</v>
      </c>
      <c r="N61">
        <f>教科書掲載表!Y15</f>
        <v>80</v>
      </c>
      <c r="O61">
        <f>教科書掲載表!Y19</f>
        <v>8</v>
      </c>
      <c r="P61">
        <f>教科書掲載表!Y17</f>
        <v>4</v>
      </c>
      <c r="W61">
        <f t="shared" si="29"/>
        <v>58</v>
      </c>
      <c r="X61">
        <f t="shared" si="28"/>
        <v>64</v>
      </c>
      <c r="AC61">
        <f t="shared" si="35"/>
        <v>-39</v>
      </c>
      <c r="AD61">
        <f>教科書掲載表!X46</f>
        <v>60</v>
      </c>
      <c r="AE61">
        <f>教科書掲載表!Y46</f>
        <v>60</v>
      </c>
      <c r="AF61">
        <f>教科書掲載表!Z46</f>
        <v>5</v>
      </c>
      <c r="AG61">
        <f>教科書掲載表!AA46</f>
        <v>6.5</v>
      </c>
      <c r="AH61">
        <f>教科書掲載表!AB46</f>
        <v>3</v>
      </c>
      <c r="AR61">
        <f t="shared" si="34"/>
        <v>-18.2</v>
      </c>
      <c r="AS61">
        <f>教科書付表!S10</f>
        <v>1.8</v>
      </c>
      <c r="AT61">
        <f>教科書付表!U10</f>
        <v>2.1</v>
      </c>
    </row>
    <row r="62" spans="1:46" x14ac:dyDescent="0.4">
      <c r="A62">
        <f t="shared" si="26"/>
        <v>49989.29</v>
      </c>
      <c r="B62">
        <f t="shared" si="13"/>
        <v>50000</v>
      </c>
      <c r="F62">
        <f t="shared" si="32"/>
        <v>-4.6900000000000013</v>
      </c>
      <c r="G62">
        <f>教科書掲載表!A42</f>
        <v>12</v>
      </c>
      <c r="N62">
        <f>教科書掲載表!Z15</f>
        <v>100</v>
      </c>
      <c r="O62">
        <f>教科書掲載表!Z19</f>
        <v>10</v>
      </c>
      <c r="P62">
        <f>教科書掲載表!Z17</f>
        <v>4</v>
      </c>
      <c r="AC62">
        <f t="shared" si="35"/>
        <v>-34</v>
      </c>
      <c r="AD62">
        <f>教科書掲載表!X49</f>
        <v>65</v>
      </c>
      <c r="AE62">
        <f>教科書掲載表!Y49</f>
        <v>65</v>
      </c>
      <c r="AF62">
        <f>教科書掲載表!Z49</f>
        <v>8</v>
      </c>
      <c r="AG62">
        <f>教科書掲載表!AA49</f>
        <v>8.5</v>
      </c>
      <c r="AH62">
        <f>教科書掲載表!AB49</f>
        <v>6</v>
      </c>
      <c r="AR62">
        <f t="shared" si="34"/>
        <v>-18</v>
      </c>
      <c r="AS62">
        <f>教科書付表!S11</f>
        <v>2</v>
      </c>
      <c r="AT62">
        <f>教科書付表!U11</f>
        <v>2.4</v>
      </c>
    </row>
    <row r="63" spans="1:46" x14ac:dyDescent="0.4">
      <c r="A63">
        <f t="shared" si="26"/>
        <v>62989.29</v>
      </c>
      <c r="B63">
        <f t="shared" si="13"/>
        <v>63000</v>
      </c>
      <c r="F63">
        <f t="shared" si="32"/>
        <v>-3.6900000000000013</v>
      </c>
      <c r="G63">
        <f>教科書掲載表!A43</f>
        <v>13</v>
      </c>
      <c r="N63">
        <f>教科書掲載表!AA15</f>
        <v>120</v>
      </c>
      <c r="O63">
        <f>教科書掲載表!AA19</f>
        <v>10</v>
      </c>
      <c r="P63">
        <f>教科書掲載表!AA17</f>
        <v>5</v>
      </c>
      <c r="AC63">
        <f t="shared" si="35"/>
        <v>-29</v>
      </c>
      <c r="AD63">
        <f>教科書掲載表!X50</f>
        <v>70</v>
      </c>
      <c r="AE63">
        <f>教科書掲載表!Y50</f>
        <v>70</v>
      </c>
      <c r="AF63">
        <f>教科書掲載表!Z50</f>
        <v>6</v>
      </c>
      <c r="AG63">
        <f>教科書掲載表!AA50</f>
        <v>8.5</v>
      </c>
      <c r="AH63">
        <f>教科書掲載表!AB50</f>
        <v>4</v>
      </c>
      <c r="AR63">
        <f t="shared" si="34"/>
        <v>-17.8</v>
      </c>
      <c r="AS63">
        <f>教科書付表!S12</f>
        <v>2.2000000000000002</v>
      </c>
      <c r="AT63">
        <f>教科書付表!U12</f>
        <v>2.6</v>
      </c>
    </row>
    <row r="64" spans="1:46" x14ac:dyDescent="0.4">
      <c r="A64">
        <f t="shared" si="26"/>
        <v>79989.289999999994</v>
      </c>
      <c r="B64">
        <f t="shared" si="13"/>
        <v>80000</v>
      </c>
      <c r="F64">
        <f t="shared" si="32"/>
        <v>-0.69000000000000128</v>
      </c>
      <c r="G64">
        <f>教科書掲載表!A44</f>
        <v>16</v>
      </c>
      <c r="AC64">
        <f t="shared" si="35"/>
        <v>-24</v>
      </c>
      <c r="AD64">
        <f>教科書掲載表!X53</f>
        <v>75</v>
      </c>
      <c r="AE64">
        <f>教科書掲載表!Y53</f>
        <v>75</v>
      </c>
      <c r="AF64">
        <f>教科書掲載表!Z53</f>
        <v>12</v>
      </c>
      <c r="AG64">
        <f>教科書掲載表!AA53</f>
        <v>8.5</v>
      </c>
      <c r="AH64">
        <f>教科書掲載表!AB53</f>
        <v>6</v>
      </c>
      <c r="AR64">
        <f t="shared" si="34"/>
        <v>-17.7</v>
      </c>
      <c r="AS64">
        <f>教科書付表!S13</f>
        <v>2.2999999999999998</v>
      </c>
      <c r="AT64">
        <f>教科書付表!U13</f>
        <v>2.7</v>
      </c>
    </row>
    <row r="65" spans="1:46" x14ac:dyDescent="0.4">
      <c r="A65">
        <f t="shared" si="26"/>
        <v>99989.29</v>
      </c>
      <c r="B65">
        <f t="shared" si="13"/>
        <v>100000</v>
      </c>
      <c r="F65">
        <f t="shared" si="32"/>
        <v>2.3099999999999987</v>
      </c>
      <c r="G65">
        <f>教科書掲載表!A45</f>
        <v>19</v>
      </c>
      <c r="N65" t="s">
        <v>784</v>
      </c>
      <c r="O65" t="str">
        <f>AA116</f>
        <v>正の最小値</v>
      </c>
      <c r="P65" t="s">
        <v>805</v>
      </c>
      <c r="AC65">
        <f t="shared" si="35"/>
        <v>-19</v>
      </c>
      <c r="AD65">
        <f>教科書掲載表!X54</f>
        <v>80</v>
      </c>
      <c r="AE65">
        <f>教科書掲載表!Y54</f>
        <v>80</v>
      </c>
      <c r="AF65">
        <f>教科書掲載表!Z54</f>
        <v>6</v>
      </c>
      <c r="AG65">
        <f>教科書掲載表!AA54</f>
        <v>8.5</v>
      </c>
      <c r="AH65">
        <f>教科書掲載表!AB54</f>
        <v>4</v>
      </c>
      <c r="AR65">
        <f t="shared" si="34"/>
        <v>-17.5</v>
      </c>
      <c r="AS65">
        <f>教科書付表!S14</f>
        <v>2.5</v>
      </c>
      <c r="AT65">
        <f>教科書付表!U14</f>
        <v>2.9</v>
      </c>
    </row>
    <row r="66" spans="1:46" x14ac:dyDescent="0.4">
      <c r="F66">
        <f t="shared" si="32"/>
        <v>3.3099999999999987</v>
      </c>
      <c r="G66">
        <f>教科書掲載表!A46</f>
        <v>20</v>
      </c>
      <c r="N66">
        <f>'例題7.1~7.4'!J2</f>
        <v>4.07</v>
      </c>
      <c r="O66">
        <f>SMALL(N68:N74,COUNTIF(N68:N74,"&lt;=0")+1)</f>
        <v>0.92999999999999972</v>
      </c>
      <c r="P66">
        <f>VLOOKUP(O66,N68:P88,2,FALSE)</f>
        <v>5</v>
      </c>
      <c r="T66" t="s">
        <v>806</v>
      </c>
      <c r="AC66">
        <f t="shared" si="35"/>
        <v>-9</v>
      </c>
      <c r="AD66">
        <f>教科書掲載表!X58</f>
        <v>90</v>
      </c>
      <c r="AE66">
        <f>教科書掲載表!Y58</f>
        <v>90</v>
      </c>
      <c r="AF66">
        <f>教科書掲載表!Z58</f>
        <v>13</v>
      </c>
      <c r="AG66">
        <f>教科書掲載表!AA58</f>
        <v>10</v>
      </c>
      <c r="AH66">
        <f>教科書掲載表!AB58</f>
        <v>7</v>
      </c>
      <c r="AR66">
        <f t="shared" si="34"/>
        <v>-17.399999999999999</v>
      </c>
      <c r="AS66">
        <f>教科書付表!S15</f>
        <v>2.6</v>
      </c>
      <c r="AT66">
        <f>教科書付表!U15</f>
        <v>3</v>
      </c>
    </row>
    <row r="67" spans="1:46" x14ac:dyDescent="0.4">
      <c r="A67" t="s">
        <v>807</v>
      </c>
      <c r="B67" t="s">
        <v>780</v>
      </c>
      <c r="C67" t="s">
        <v>59</v>
      </c>
      <c r="F67">
        <f t="shared" si="32"/>
        <v>5.3099999999999987</v>
      </c>
      <c r="G67">
        <f>教科書掲載表!A47</f>
        <v>22</v>
      </c>
      <c r="N67" t="s">
        <v>786</v>
      </c>
      <c r="O67" t="s">
        <v>738</v>
      </c>
      <c r="T67" t="s">
        <v>808</v>
      </c>
      <c r="U67" t="s">
        <v>809</v>
      </c>
      <c r="V67" t="s">
        <v>810</v>
      </c>
      <c r="AC67">
        <f t="shared" si="35"/>
        <v>1</v>
      </c>
      <c r="AD67">
        <f>教科書掲載表!X61</f>
        <v>100</v>
      </c>
      <c r="AE67">
        <f>教科書掲載表!Y61</f>
        <v>100</v>
      </c>
      <c r="AF67">
        <f>教科書掲載表!Z61</f>
        <v>13</v>
      </c>
      <c r="AG67">
        <f>教科書掲載表!AA61</f>
        <v>10</v>
      </c>
      <c r="AH67">
        <f>教科書掲載表!AB61</f>
        <v>7</v>
      </c>
      <c r="AR67">
        <f t="shared" si="34"/>
        <v>-17</v>
      </c>
      <c r="AS67">
        <f>教科書付表!S16</f>
        <v>3</v>
      </c>
      <c r="AT67">
        <f>教科書付表!U16</f>
        <v>3.4</v>
      </c>
    </row>
    <row r="68" spans="1:46" x14ac:dyDescent="0.4">
      <c r="A68">
        <f>'3章'!D19</f>
        <v>17.5</v>
      </c>
      <c r="B68">
        <f>SMALL(A70:A130,COUNTIF(A70:A130,"&lt;=0")+1)</f>
        <v>2.5</v>
      </c>
      <c r="C68">
        <f>VLOOKUP(B68,A70:B130,2,FALSE)</f>
        <v>20</v>
      </c>
      <c r="F68">
        <f t="shared" si="32"/>
        <v>7.3099999999999987</v>
      </c>
      <c r="G68">
        <f>教科書掲載表!A48</f>
        <v>24</v>
      </c>
      <c r="N68">
        <f>O68-$N$66</f>
        <v>0.92999999999999972</v>
      </c>
      <c r="O68">
        <f>教科書掲載表!AD23</f>
        <v>5</v>
      </c>
      <c r="T68">
        <f>'第Ⅰ軸,第Ⅱ軸'!A16</f>
        <v>30</v>
      </c>
      <c r="U68">
        <f>IF(T68&gt;22,教科書掲載表!$AF$18,教科書掲載表!$AF$16)</f>
        <v>16</v>
      </c>
      <c r="V68" t="str">
        <f>IF(T68&gt;22,教科書掲載表!$AG$18,教科書掲載表!$AG$16)</f>
        <v>M8</v>
      </c>
      <c r="AC68">
        <f t="shared" si="35"/>
        <v>21</v>
      </c>
      <c r="AD68">
        <f>教科書掲載表!X62</f>
        <v>120</v>
      </c>
      <c r="AE68">
        <f>教科書掲載表!Y62</f>
        <v>120</v>
      </c>
      <c r="AF68">
        <f>教科書掲載表!Z62</f>
        <v>8</v>
      </c>
      <c r="AG68">
        <f>教科書掲載表!AA62</f>
        <v>12</v>
      </c>
      <c r="AH68">
        <f>教科書掲載表!AB62</f>
        <v>5</v>
      </c>
      <c r="AR68">
        <f t="shared" si="34"/>
        <v>-16.5</v>
      </c>
      <c r="AS68">
        <f>教科書付表!S17</f>
        <v>3.5</v>
      </c>
      <c r="AT68">
        <f>教科書付表!U17</f>
        <v>3.9</v>
      </c>
    </row>
    <row r="69" spans="1:46" x14ac:dyDescent="0.4">
      <c r="A69" t="s">
        <v>786</v>
      </c>
      <c r="B69" t="s">
        <v>659</v>
      </c>
      <c r="F69">
        <f t="shared" si="32"/>
        <v>8.3099999999999987</v>
      </c>
      <c r="G69">
        <f>教科書掲載表!A49</f>
        <v>25</v>
      </c>
      <c r="N69">
        <f t="shared" ref="N69:N74" si="36">O69-$N$66</f>
        <v>1.9299999999999997</v>
      </c>
      <c r="O69">
        <f>教科書掲載表!AD24</f>
        <v>6</v>
      </c>
      <c r="AC69">
        <f t="shared" si="35"/>
        <v>31</v>
      </c>
      <c r="AD69">
        <f>教科書掲載表!X65</f>
        <v>130</v>
      </c>
      <c r="AE69">
        <f>教科書掲載表!Y65</f>
        <v>130</v>
      </c>
      <c r="AF69">
        <f>教科書掲載表!Z65</f>
        <v>15</v>
      </c>
      <c r="AG69">
        <f>教科書掲載表!AA65</f>
        <v>12</v>
      </c>
      <c r="AH69">
        <f>教科書掲載表!AB65</f>
        <v>8.5</v>
      </c>
      <c r="AR69">
        <f t="shared" si="34"/>
        <v>-16</v>
      </c>
      <c r="AS69">
        <f>教科書付表!S18</f>
        <v>4</v>
      </c>
      <c r="AT69">
        <f>教科書付表!U18</f>
        <v>4.5</v>
      </c>
    </row>
    <row r="70" spans="1:46" x14ac:dyDescent="0.4">
      <c r="A70">
        <f>B70-$A$68</f>
        <v>-17.399999999999999</v>
      </c>
      <c r="B70">
        <f t="shared" ref="B70:B101" si="37">B5</f>
        <v>0.1</v>
      </c>
      <c r="F70">
        <f t="shared" si="32"/>
        <v>11.309999999999999</v>
      </c>
      <c r="G70">
        <f>教科書掲載表!A50</f>
        <v>28</v>
      </c>
      <c r="N70">
        <f t="shared" si="36"/>
        <v>3.9299999999999997</v>
      </c>
      <c r="O70">
        <f>教科書掲載表!AD25</f>
        <v>8</v>
      </c>
      <c r="T70" t="s">
        <v>811</v>
      </c>
      <c r="AC70">
        <f t="shared" si="35"/>
        <v>51</v>
      </c>
      <c r="AD70">
        <f>教科書掲載表!X68</f>
        <v>150</v>
      </c>
      <c r="AE70">
        <f>教科書掲載表!Y68</f>
        <v>150</v>
      </c>
      <c r="AF70">
        <f>教科書掲載表!Z68</f>
        <v>19</v>
      </c>
      <c r="AG70">
        <f>教科書掲載表!AA68</f>
        <v>14</v>
      </c>
      <c r="AH70">
        <f>教科書掲載表!AB68</f>
        <v>10</v>
      </c>
      <c r="AR70">
        <f t="shared" si="34"/>
        <v>-15.5</v>
      </c>
      <c r="AS70">
        <f>教科書付表!S19</f>
        <v>4.5</v>
      </c>
      <c r="AT70">
        <f>教科書付表!U19</f>
        <v>5</v>
      </c>
    </row>
    <row r="71" spans="1:46" x14ac:dyDescent="0.4">
      <c r="A71">
        <f t="shared" ref="A71:A130" si="38">B71-$A$68</f>
        <v>-17.375</v>
      </c>
      <c r="B71">
        <f t="shared" si="37"/>
        <v>0.125</v>
      </c>
      <c r="F71">
        <f t="shared" si="32"/>
        <v>13.309999999999999</v>
      </c>
      <c r="G71">
        <f>教科書掲載表!A51</f>
        <v>30</v>
      </c>
      <c r="N71">
        <f t="shared" si="36"/>
        <v>5.93</v>
      </c>
      <c r="O71">
        <f>教科書掲載表!AD26</f>
        <v>10</v>
      </c>
      <c r="T71" t="str">
        <f>T67</f>
        <v>軸外径計算値</v>
      </c>
      <c r="U71" t="s">
        <v>809</v>
      </c>
      <c r="V71" t="s">
        <v>810</v>
      </c>
      <c r="AC71">
        <f t="shared" si="35"/>
        <v>76</v>
      </c>
      <c r="AD71">
        <f>教科書掲載表!X70</f>
        <v>175</v>
      </c>
      <c r="AE71">
        <f>教科書掲載表!Y70</f>
        <v>175</v>
      </c>
      <c r="AF71">
        <f>教科書掲載表!Z70</f>
        <v>15</v>
      </c>
      <c r="AG71">
        <f>教科書掲載表!AA70</f>
        <v>15</v>
      </c>
      <c r="AH71">
        <f>教科書掲載表!AB70</f>
        <v>11</v>
      </c>
      <c r="AR71">
        <f t="shared" si="34"/>
        <v>-15</v>
      </c>
      <c r="AS71">
        <f>教科書付表!S20</f>
        <v>5</v>
      </c>
      <c r="AT71">
        <f>教科書付表!U20</f>
        <v>5.5</v>
      </c>
    </row>
    <row r="72" spans="1:46" x14ac:dyDescent="0.4">
      <c r="A72">
        <f t="shared" si="38"/>
        <v>-17.34</v>
      </c>
      <c r="B72">
        <f t="shared" si="37"/>
        <v>0.16</v>
      </c>
      <c r="F72">
        <f t="shared" si="32"/>
        <v>15.309999999999999</v>
      </c>
      <c r="G72">
        <f>教科書掲載表!A52</f>
        <v>32</v>
      </c>
      <c r="N72">
        <f t="shared" si="36"/>
        <v>7.93</v>
      </c>
      <c r="O72">
        <f>教科書掲載表!AD27</f>
        <v>12</v>
      </c>
      <c r="T72">
        <f>'第Ⅰ軸,第Ⅱ軸'!A28</f>
        <v>30</v>
      </c>
      <c r="U72">
        <f>IF(T72&gt;22,教科書掲載表!$AF$18,教科書掲載表!$AF$16)</f>
        <v>16</v>
      </c>
      <c r="V72" t="str">
        <f>IF(T72&gt;22,教科書掲載表!$AG$18,教科書掲載表!$AG$16)</f>
        <v>M8</v>
      </c>
      <c r="AC72">
        <f t="shared" si="35"/>
        <v>101</v>
      </c>
      <c r="AD72">
        <f>教科書掲載表!X73</f>
        <v>200</v>
      </c>
      <c r="AE72">
        <f>教科書掲載表!Y73</f>
        <v>200</v>
      </c>
      <c r="AF72">
        <f>教科書掲載表!Z73</f>
        <v>25</v>
      </c>
      <c r="AG72">
        <f>教科書掲載表!AA73</f>
        <v>17</v>
      </c>
      <c r="AH72">
        <f>教科書掲載表!AB73</f>
        <v>12</v>
      </c>
      <c r="AR72">
        <f t="shared" si="34"/>
        <v>-14</v>
      </c>
      <c r="AS72">
        <f>教科書付表!S21</f>
        <v>6</v>
      </c>
      <c r="AT72">
        <f>教科書付表!U21</f>
        <v>6.6</v>
      </c>
    </row>
    <row r="73" spans="1:46" x14ac:dyDescent="0.4">
      <c r="A73">
        <f t="shared" si="38"/>
        <v>-17.3</v>
      </c>
      <c r="B73">
        <f t="shared" si="37"/>
        <v>0.2</v>
      </c>
      <c r="F73">
        <f t="shared" si="32"/>
        <v>19.309999999999999</v>
      </c>
      <c r="G73">
        <f>教科書掲載表!A53</f>
        <v>36</v>
      </c>
      <c r="N73">
        <f t="shared" si="36"/>
        <v>9.93</v>
      </c>
      <c r="O73">
        <f>教科書掲載表!AD28</f>
        <v>14</v>
      </c>
      <c r="AC73">
        <f t="shared" si="35"/>
        <v>151</v>
      </c>
      <c r="AD73">
        <f>教科書掲載表!X75</f>
        <v>250</v>
      </c>
      <c r="AE73">
        <f>教科書掲載表!Y75</f>
        <v>250</v>
      </c>
      <c r="AF73">
        <f>教科書掲載表!Z75</f>
        <v>35</v>
      </c>
      <c r="AG73">
        <f>教科書掲載表!AA75</f>
        <v>24</v>
      </c>
      <c r="AH73">
        <f>教科書掲載表!AB75</f>
        <v>18</v>
      </c>
      <c r="AR73">
        <f t="shared" si="34"/>
        <v>-13</v>
      </c>
      <c r="AS73">
        <f>教科書付表!S22</f>
        <v>7</v>
      </c>
      <c r="AT73">
        <f>教科書付表!U22</f>
        <v>7.6</v>
      </c>
    </row>
    <row r="74" spans="1:46" x14ac:dyDescent="0.4">
      <c r="A74">
        <f t="shared" si="38"/>
        <v>-17.25</v>
      </c>
      <c r="B74">
        <f t="shared" si="37"/>
        <v>0.25</v>
      </c>
      <c r="F74">
        <f t="shared" si="32"/>
        <v>21.31</v>
      </c>
      <c r="G74">
        <f>教科書掲載表!A54</f>
        <v>38</v>
      </c>
      <c r="N74">
        <f t="shared" si="36"/>
        <v>11.93</v>
      </c>
      <c r="O74">
        <f>教科書掲載表!AD29</f>
        <v>16</v>
      </c>
      <c r="Q74" t="s">
        <v>395</v>
      </c>
      <c r="R74" t="s">
        <v>780</v>
      </c>
      <c r="S74" t="s">
        <v>16</v>
      </c>
      <c r="T74" t="s">
        <v>78</v>
      </c>
      <c r="V74" t="s">
        <v>387</v>
      </c>
      <c r="W74" t="s">
        <v>780</v>
      </c>
      <c r="X74" t="s">
        <v>16</v>
      </c>
      <c r="Y74" t="s">
        <v>78</v>
      </c>
      <c r="AR74">
        <f t="shared" si="34"/>
        <v>-12</v>
      </c>
      <c r="AS74">
        <f>教科書付表!S23</f>
        <v>8</v>
      </c>
      <c r="AT74">
        <f>教科書付表!U23</f>
        <v>9</v>
      </c>
    </row>
    <row r="75" spans="1:46" x14ac:dyDescent="0.4">
      <c r="A75">
        <f t="shared" si="38"/>
        <v>-17.184999999999999</v>
      </c>
      <c r="B75">
        <f t="shared" si="37"/>
        <v>0.315</v>
      </c>
      <c r="F75">
        <f t="shared" si="32"/>
        <v>25.31</v>
      </c>
      <c r="G75">
        <f>教科書掲載表!A55</f>
        <v>42</v>
      </c>
      <c r="Q75">
        <f>'第Ⅰ軸,第Ⅱ軸'!A16</f>
        <v>30</v>
      </c>
      <c r="R75">
        <f>SMALL(Q77:Q92,COUNTIF(Q77:Q92,"&lt;=0")+1)</f>
        <v>8</v>
      </c>
      <c r="S75">
        <f>VLOOKUP(R75,Q77:S92,3)</f>
        <v>10</v>
      </c>
      <c r="T75">
        <f>VLOOKUP(R75,Q77:T92,4)</f>
        <v>8</v>
      </c>
      <c r="V75">
        <f>'第Ⅰ軸,第Ⅱ軸'!A28</f>
        <v>30</v>
      </c>
      <c r="W75">
        <f>SMALL(V77:V92,COUNTIF(V77:V92,"&lt;=0")+1)</f>
        <v>8</v>
      </c>
      <c r="X75">
        <f>VLOOKUP(W75,V77:X92,3)</f>
        <v>10</v>
      </c>
      <c r="Y75">
        <f>VLOOKUP(W75,V77:Y92,4)</f>
        <v>8</v>
      </c>
      <c r="AG75">
        <v>3</v>
      </c>
      <c r="AH75">
        <f>AG75+1</f>
        <v>4</v>
      </c>
      <c r="AI75">
        <f t="shared" ref="AI75:AO75" si="39">AH75+1</f>
        <v>5</v>
      </c>
      <c r="AJ75">
        <f t="shared" si="39"/>
        <v>6</v>
      </c>
      <c r="AK75">
        <f t="shared" si="39"/>
        <v>7</v>
      </c>
      <c r="AL75">
        <f t="shared" si="39"/>
        <v>8</v>
      </c>
      <c r="AM75">
        <f t="shared" si="39"/>
        <v>9</v>
      </c>
      <c r="AN75">
        <f t="shared" si="39"/>
        <v>10</v>
      </c>
      <c r="AO75">
        <f t="shared" si="39"/>
        <v>11</v>
      </c>
      <c r="AR75">
        <f t="shared" si="34"/>
        <v>-10</v>
      </c>
      <c r="AS75">
        <f>教科書付表!S24</f>
        <v>10</v>
      </c>
      <c r="AT75">
        <f>教科書付表!U24</f>
        <v>11</v>
      </c>
    </row>
    <row r="76" spans="1:46" x14ac:dyDescent="0.4">
      <c r="A76">
        <f t="shared" si="38"/>
        <v>-17.100000000000001</v>
      </c>
      <c r="B76">
        <f t="shared" si="37"/>
        <v>0.4</v>
      </c>
      <c r="F76">
        <f t="shared" si="32"/>
        <v>29.31</v>
      </c>
      <c r="G76">
        <f>教科書掲載表!A56</f>
        <v>46</v>
      </c>
      <c r="Q76" t="s">
        <v>786</v>
      </c>
      <c r="R76" t="str">
        <f>教科書掲載表!R34</f>
        <v>d</v>
      </c>
      <c r="S76" t="s">
        <v>16</v>
      </c>
      <c r="T76" t="s">
        <v>78</v>
      </c>
      <c r="V76" t="s">
        <v>786</v>
      </c>
      <c r="W76" t="str">
        <f>教科書掲載表!Z34</f>
        <v>t</v>
      </c>
      <c r="X76" t="s">
        <v>16</v>
      </c>
      <c r="Y76" t="s">
        <v>78</v>
      </c>
      <c r="AR76">
        <f t="shared" si="34"/>
        <v>-8</v>
      </c>
      <c r="AS76">
        <f>教科書付表!S25</f>
        <v>12</v>
      </c>
      <c r="AT76">
        <f>教科書付表!U25</f>
        <v>13.5</v>
      </c>
    </row>
    <row r="77" spans="1:46" x14ac:dyDescent="0.4">
      <c r="A77">
        <f t="shared" si="38"/>
        <v>-17</v>
      </c>
      <c r="B77">
        <f t="shared" si="37"/>
        <v>0.5</v>
      </c>
      <c r="F77">
        <f t="shared" si="32"/>
        <v>31.31</v>
      </c>
      <c r="G77">
        <f>教科書掲載表!A57</f>
        <v>48</v>
      </c>
      <c r="Q77">
        <f t="shared" ref="Q77:Q92" si="40">R77-$Q$75</f>
        <v>-22</v>
      </c>
      <c r="R77">
        <f>教科書掲載表!R35</f>
        <v>8</v>
      </c>
      <c r="S77">
        <f>教科書掲載表!P35</f>
        <v>2</v>
      </c>
      <c r="T77">
        <f>教科書掲載表!Q35</f>
        <v>2</v>
      </c>
      <c r="V77">
        <f>W77-$V$75</f>
        <v>-22</v>
      </c>
      <c r="W77">
        <f>R77</f>
        <v>8</v>
      </c>
      <c r="X77">
        <f t="shared" ref="X77:Y77" si="41">S77</f>
        <v>2</v>
      </c>
      <c r="Y77">
        <f t="shared" si="41"/>
        <v>2</v>
      </c>
      <c r="AE77" t="s">
        <v>395</v>
      </c>
      <c r="AF77" t="s">
        <v>780</v>
      </c>
      <c r="AG77" t="str">
        <f>AG79</f>
        <v>D0</v>
      </c>
      <c r="AH77" t="str">
        <f t="shared" ref="AH77:AO77" si="42">AH79</f>
        <v>l</v>
      </c>
      <c r="AI77" t="str">
        <f t="shared" si="42"/>
        <v>j</v>
      </c>
      <c r="AJ77" t="str">
        <f t="shared" si="42"/>
        <v>a1</v>
      </c>
      <c r="AK77" t="str">
        <f t="shared" si="42"/>
        <v>g</v>
      </c>
      <c r="AL77" t="str">
        <f t="shared" si="42"/>
        <v>c</v>
      </c>
      <c r="AM77" t="str">
        <f t="shared" si="42"/>
        <v>a2</v>
      </c>
      <c r="AN77" t="str">
        <f t="shared" si="42"/>
        <v>e0</v>
      </c>
      <c r="AO77" t="str">
        <f t="shared" si="42"/>
        <v>e</v>
      </c>
      <c r="AR77">
        <f t="shared" si="34"/>
        <v>-6</v>
      </c>
      <c r="AS77">
        <f>教科書付表!S26</f>
        <v>14</v>
      </c>
      <c r="AT77">
        <f>教科書付表!U26</f>
        <v>15.5</v>
      </c>
    </row>
    <row r="78" spans="1:46" x14ac:dyDescent="0.4">
      <c r="A78">
        <f t="shared" si="38"/>
        <v>-16.87</v>
      </c>
      <c r="B78">
        <f t="shared" si="37"/>
        <v>0.63</v>
      </c>
      <c r="F78">
        <f t="shared" si="32"/>
        <v>33.31</v>
      </c>
      <c r="G78">
        <f>教科書掲載表!A58</f>
        <v>50</v>
      </c>
      <c r="Q78">
        <f t="shared" si="40"/>
        <v>-20</v>
      </c>
      <c r="R78">
        <f>教科書掲載表!R36</f>
        <v>10</v>
      </c>
      <c r="S78">
        <f>教科書掲載表!P36</f>
        <v>3</v>
      </c>
      <c r="T78">
        <f>教科書掲載表!Q36</f>
        <v>3</v>
      </c>
      <c r="V78">
        <f t="shared" ref="V78:V92" si="43">W78-$V$75</f>
        <v>-20</v>
      </c>
      <c r="W78">
        <f t="shared" ref="W78:W92" si="44">R78</f>
        <v>10</v>
      </c>
      <c r="X78">
        <f t="shared" ref="X78:X92" si="45">S78</f>
        <v>3</v>
      </c>
      <c r="Y78">
        <f t="shared" ref="Y78:Y92" si="46">T78</f>
        <v>3</v>
      </c>
      <c r="AE78">
        <f>'9章'!A2</f>
        <v>30</v>
      </c>
      <c r="AF78">
        <f>IF(SMALL(AE80:AE95,COUNTIF(AE80:AE95,"&lt;=0"))=0,SMALL(AE80:AE95,COUNTIF(AE80:AE95,"&lt;=0")),SMALL(AE80:AE95,COUNTIF(AE80:AE95,"&lt;=0")+1))</f>
        <v>0</v>
      </c>
      <c r="AG78">
        <f>VLOOKUP($AF$78,$AE$80:$AO$84,AG75)</f>
        <v>65</v>
      </c>
      <c r="AH78">
        <f t="shared" ref="AH78:AO78" si="47">VLOOKUP($AF$78,$AE$80:$AO$84,AH75)</f>
        <v>60</v>
      </c>
      <c r="AI78">
        <f t="shared" si="47"/>
        <v>20</v>
      </c>
      <c r="AJ78">
        <f t="shared" si="47"/>
        <v>155</v>
      </c>
      <c r="AK78">
        <f t="shared" si="47"/>
        <v>35</v>
      </c>
      <c r="AL78">
        <f t="shared" si="47"/>
        <v>20</v>
      </c>
      <c r="AM78">
        <f t="shared" si="47"/>
        <v>120</v>
      </c>
      <c r="AN78">
        <f t="shared" si="47"/>
        <v>14</v>
      </c>
      <c r="AO78" t="str">
        <f t="shared" si="47"/>
        <v>M12</v>
      </c>
      <c r="AR78">
        <f t="shared" si="34"/>
        <v>-4</v>
      </c>
      <c r="AS78">
        <f>教科書付表!S27</f>
        <v>16</v>
      </c>
      <c r="AT78">
        <f>教科書付表!U27</f>
        <v>17.5</v>
      </c>
    </row>
    <row r="79" spans="1:46" x14ac:dyDescent="0.4">
      <c r="A79">
        <f t="shared" si="38"/>
        <v>-16.7</v>
      </c>
      <c r="B79">
        <f t="shared" si="37"/>
        <v>0.8</v>
      </c>
      <c r="F79">
        <f t="shared" si="32"/>
        <v>38.31</v>
      </c>
      <c r="G79">
        <f>教科書掲載表!A59</f>
        <v>55</v>
      </c>
      <c r="Q79">
        <f t="shared" si="40"/>
        <v>-18</v>
      </c>
      <c r="R79">
        <f>教科書掲載表!R37</f>
        <v>12</v>
      </c>
      <c r="S79">
        <f>教科書掲載表!P37</f>
        <v>4</v>
      </c>
      <c r="T79">
        <f>教科書掲載表!Q37</f>
        <v>4</v>
      </c>
      <c r="V79">
        <f t="shared" si="43"/>
        <v>-18</v>
      </c>
      <c r="W79">
        <f t="shared" si="44"/>
        <v>12</v>
      </c>
      <c r="X79">
        <f t="shared" si="45"/>
        <v>4</v>
      </c>
      <c r="Y79">
        <f t="shared" si="46"/>
        <v>4</v>
      </c>
      <c r="AE79" t="s">
        <v>786</v>
      </c>
      <c r="AF79" t="str">
        <f>教科書掲載表!O81</f>
        <v>軸受けd</v>
      </c>
      <c r="AG79" t="str">
        <f>教科書掲載表!P81</f>
        <v>D0</v>
      </c>
      <c r="AH79" t="str">
        <f>教科書掲載表!Q81</f>
        <v>l</v>
      </c>
      <c r="AI79" t="str">
        <f>教科書掲載表!R81</f>
        <v>j</v>
      </c>
      <c r="AJ79" t="str">
        <f>教科書掲載表!S81</f>
        <v>a1</v>
      </c>
      <c r="AK79" t="str">
        <f>教科書掲載表!T81</f>
        <v>g</v>
      </c>
      <c r="AL79" t="str">
        <f>教科書掲載表!U81</f>
        <v>c</v>
      </c>
      <c r="AM79" t="str">
        <f>教科書掲載表!V81</f>
        <v>a2</v>
      </c>
      <c r="AN79" t="str">
        <f>教科書掲載表!W81</f>
        <v>e0</v>
      </c>
      <c r="AO79" t="str">
        <f>教科書掲載表!X81</f>
        <v>e</v>
      </c>
      <c r="AR79">
        <f t="shared" si="34"/>
        <v>-2</v>
      </c>
      <c r="AS79">
        <f>教科書付表!S28</f>
        <v>18</v>
      </c>
      <c r="AT79">
        <f>教科書付表!U28</f>
        <v>20</v>
      </c>
    </row>
    <row r="80" spans="1:46" x14ac:dyDescent="0.4">
      <c r="A80">
        <f t="shared" si="38"/>
        <v>-16.5</v>
      </c>
      <c r="B80">
        <f t="shared" si="37"/>
        <v>1</v>
      </c>
      <c r="F80">
        <f t="shared" si="32"/>
        <v>39.31</v>
      </c>
      <c r="G80">
        <f>教科書掲載表!A60</f>
        <v>56</v>
      </c>
      <c r="Q80">
        <f t="shared" si="40"/>
        <v>-13</v>
      </c>
      <c r="R80">
        <f>教科書掲載表!R38</f>
        <v>17</v>
      </c>
      <c r="S80">
        <f>教科書掲載表!P38</f>
        <v>5</v>
      </c>
      <c r="T80">
        <f>教科書掲載表!Q38</f>
        <v>5</v>
      </c>
      <c r="V80">
        <f t="shared" si="43"/>
        <v>-13</v>
      </c>
      <c r="W80">
        <f t="shared" si="44"/>
        <v>17</v>
      </c>
      <c r="X80">
        <f t="shared" si="45"/>
        <v>5</v>
      </c>
      <c r="Y80">
        <f t="shared" si="46"/>
        <v>5</v>
      </c>
      <c r="AE80">
        <f>AF80-$AE$78</f>
        <v>0</v>
      </c>
      <c r="AF80">
        <f>教科書掲載表!O82</f>
        <v>30</v>
      </c>
      <c r="AG80">
        <f>教科書掲載表!P82</f>
        <v>65</v>
      </c>
      <c r="AH80">
        <f>教科書掲載表!Q82</f>
        <v>60</v>
      </c>
      <c r="AI80">
        <f>教科書掲載表!R82</f>
        <v>20</v>
      </c>
      <c r="AJ80">
        <f>教科書掲載表!S82</f>
        <v>155</v>
      </c>
      <c r="AK80">
        <f>教科書掲載表!T82</f>
        <v>35</v>
      </c>
      <c r="AL80">
        <f>教科書掲載表!U82</f>
        <v>20</v>
      </c>
      <c r="AM80">
        <f>教科書掲載表!V82</f>
        <v>120</v>
      </c>
      <c r="AN80">
        <f>教科書掲載表!W82</f>
        <v>14</v>
      </c>
      <c r="AO80" t="str">
        <f>教科書掲載表!X82</f>
        <v>M12</v>
      </c>
      <c r="AR80">
        <f t="shared" si="34"/>
        <v>0</v>
      </c>
      <c r="AS80">
        <f>教科書付表!S29</f>
        <v>20</v>
      </c>
      <c r="AT80">
        <f>教科書付表!U29</f>
        <v>22</v>
      </c>
    </row>
    <row r="81" spans="1:46" x14ac:dyDescent="0.4">
      <c r="A81">
        <f t="shared" si="38"/>
        <v>-16.25</v>
      </c>
      <c r="B81">
        <f t="shared" si="37"/>
        <v>1.25</v>
      </c>
      <c r="F81">
        <f t="shared" si="32"/>
        <v>43.31</v>
      </c>
      <c r="G81">
        <f>教科書掲載表!A61</f>
        <v>60</v>
      </c>
      <c r="Q81">
        <f t="shared" si="40"/>
        <v>-8</v>
      </c>
      <c r="R81">
        <f>教科書掲載表!R39</f>
        <v>22</v>
      </c>
      <c r="S81">
        <f>教科書掲載表!P39</f>
        <v>6</v>
      </c>
      <c r="T81">
        <f>教科書掲載表!Q39</f>
        <v>6</v>
      </c>
      <c r="V81">
        <f t="shared" si="43"/>
        <v>-8</v>
      </c>
      <c r="W81">
        <f t="shared" si="44"/>
        <v>22</v>
      </c>
      <c r="X81">
        <f t="shared" si="45"/>
        <v>6</v>
      </c>
      <c r="Y81">
        <f t="shared" si="46"/>
        <v>6</v>
      </c>
      <c r="AE81">
        <f t="shared" ref="AE81:AE84" si="48">AF81-$AE$78</f>
        <v>10</v>
      </c>
      <c r="AF81">
        <f>教科書掲載表!O83</f>
        <v>40</v>
      </c>
      <c r="AG81">
        <f>教科書掲載表!P83</f>
        <v>80</v>
      </c>
      <c r="AH81">
        <f>教科書掲載表!Q83</f>
        <v>70</v>
      </c>
      <c r="AI81">
        <f>教科書掲載表!R83</f>
        <v>20</v>
      </c>
      <c r="AJ81">
        <f>教科書掲載表!S83</f>
        <v>180</v>
      </c>
      <c r="AK81">
        <f>教科書掲載表!T83</f>
        <v>40</v>
      </c>
      <c r="AL81">
        <f>教科書掲載表!U83</f>
        <v>25</v>
      </c>
      <c r="AM81">
        <f>教科書掲載表!V83</f>
        <v>140</v>
      </c>
      <c r="AN81">
        <f>教科書掲載表!W83</f>
        <v>18</v>
      </c>
      <c r="AO81" t="str">
        <f>教科書掲載表!X83</f>
        <v>M16</v>
      </c>
      <c r="AR81">
        <f t="shared" si="34"/>
        <v>2</v>
      </c>
      <c r="AS81">
        <f>教科書付表!S30</f>
        <v>22</v>
      </c>
      <c r="AT81">
        <f>教科書付表!U30</f>
        <v>24</v>
      </c>
    </row>
    <row r="82" spans="1:46" x14ac:dyDescent="0.4">
      <c r="A82">
        <f t="shared" si="38"/>
        <v>-15.9</v>
      </c>
      <c r="B82">
        <f t="shared" si="37"/>
        <v>1.6</v>
      </c>
      <c r="F82">
        <f t="shared" si="32"/>
        <v>47.31</v>
      </c>
      <c r="G82">
        <f>教科書掲載表!A62</f>
        <v>64</v>
      </c>
      <c r="Q82">
        <f t="shared" si="40"/>
        <v>0</v>
      </c>
      <c r="R82">
        <f>教科書掲載表!R40</f>
        <v>30</v>
      </c>
      <c r="S82">
        <f>教科書掲載表!P40</f>
        <v>8</v>
      </c>
      <c r="T82">
        <f>教科書掲載表!Q40</f>
        <v>7</v>
      </c>
      <c r="V82">
        <f t="shared" si="43"/>
        <v>0</v>
      </c>
      <c r="W82">
        <f t="shared" si="44"/>
        <v>30</v>
      </c>
      <c r="X82">
        <f t="shared" si="45"/>
        <v>8</v>
      </c>
      <c r="Y82">
        <f t="shared" si="46"/>
        <v>7</v>
      </c>
      <c r="AE82">
        <f t="shared" si="48"/>
        <v>20</v>
      </c>
      <c r="AF82">
        <f>教科書掲載表!O84</f>
        <v>50</v>
      </c>
      <c r="AG82">
        <f>教科書掲載表!P84</f>
        <v>90</v>
      </c>
      <c r="AH82">
        <f>教科書掲載表!Q84</f>
        <v>80</v>
      </c>
      <c r="AI82">
        <f>教科書掲載表!R84</f>
        <v>20</v>
      </c>
      <c r="AJ82">
        <f>教科書掲載表!S84</f>
        <v>210</v>
      </c>
      <c r="AK82">
        <f>教科書掲載表!T84</f>
        <v>50</v>
      </c>
      <c r="AL82">
        <f>教科書掲載表!U84</f>
        <v>30</v>
      </c>
      <c r="AM82">
        <f>教科書掲載表!V84</f>
        <v>160</v>
      </c>
      <c r="AN82">
        <f>教科書掲載表!W84</f>
        <v>21</v>
      </c>
      <c r="AO82" t="str">
        <f>教科書掲載表!X84</f>
        <v>M20</v>
      </c>
      <c r="AR82">
        <f t="shared" si="34"/>
        <v>4</v>
      </c>
      <c r="AS82">
        <f>教科書付表!S31</f>
        <v>24</v>
      </c>
      <c r="AT82">
        <f>教科書付表!U31</f>
        <v>26</v>
      </c>
    </row>
    <row r="83" spans="1:46" x14ac:dyDescent="0.4">
      <c r="A83">
        <f t="shared" si="38"/>
        <v>-15.5</v>
      </c>
      <c r="B83">
        <f t="shared" si="37"/>
        <v>2</v>
      </c>
      <c r="F83">
        <f t="shared" si="32"/>
        <v>48.31</v>
      </c>
      <c r="G83">
        <f>教科書掲載表!A63</f>
        <v>65</v>
      </c>
      <c r="K83" t="s">
        <v>812</v>
      </c>
      <c r="L83" t="s">
        <v>763</v>
      </c>
      <c r="M83" t="str">
        <f>O65</f>
        <v>正の最小値</v>
      </c>
      <c r="N83" t="s">
        <v>59</v>
      </c>
      <c r="Q83">
        <f t="shared" si="40"/>
        <v>8</v>
      </c>
      <c r="R83">
        <f>教科書掲載表!R41</f>
        <v>38</v>
      </c>
      <c r="S83">
        <f>教科書掲載表!P41</f>
        <v>10</v>
      </c>
      <c r="T83">
        <f>教科書掲載表!Q41</f>
        <v>8</v>
      </c>
      <c r="V83">
        <f t="shared" si="43"/>
        <v>8</v>
      </c>
      <c r="W83">
        <f t="shared" si="44"/>
        <v>38</v>
      </c>
      <c r="X83">
        <f t="shared" si="45"/>
        <v>10</v>
      </c>
      <c r="Y83">
        <f t="shared" si="46"/>
        <v>8</v>
      </c>
      <c r="AE83">
        <f t="shared" si="48"/>
        <v>30</v>
      </c>
      <c r="AF83">
        <f>教科書掲載表!O85</f>
        <v>60</v>
      </c>
      <c r="AG83">
        <f>教科書掲載表!P85</f>
        <v>110</v>
      </c>
      <c r="AH83">
        <f>教科書掲載表!Q85</f>
        <v>90</v>
      </c>
      <c r="AI83">
        <f>教科書掲載表!R85</f>
        <v>25</v>
      </c>
      <c r="AJ83">
        <f>教科書掲載表!S85</f>
        <v>240</v>
      </c>
      <c r="AK83">
        <f>教科書掲載表!T85</f>
        <v>55</v>
      </c>
      <c r="AL83">
        <f>教科書掲載表!U85</f>
        <v>30</v>
      </c>
      <c r="AM83">
        <f>教科書掲載表!V85</f>
        <v>190</v>
      </c>
      <c r="AN83">
        <f>教科書掲載表!W85</f>
        <v>21</v>
      </c>
      <c r="AO83" t="str">
        <f>教科書掲載表!X85</f>
        <v>M20</v>
      </c>
      <c r="AR83">
        <f t="shared" si="34"/>
        <v>7</v>
      </c>
      <c r="AS83">
        <f>教科書付表!S32</f>
        <v>27</v>
      </c>
      <c r="AT83">
        <f>教科書付表!U32</f>
        <v>30</v>
      </c>
    </row>
    <row r="84" spans="1:46" x14ac:dyDescent="0.4">
      <c r="A84">
        <f t="shared" si="38"/>
        <v>-15</v>
      </c>
      <c r="B84">
        <f t="shared" si="37"/>
        <v>2.5</v>
      </c>
      <c r="F84">
        <f t="shared" si="32"/>
        <v>53.31</v>
      </c>
      <c r="G84">
        <f>教科書掲載表!A64</f>
        <v>70</v>
      </c>
      <c r="K84">
        <f>AVERAGE('例題7.1~7.4'!M4:M5)</f>
        <v>26.5</v>
      </c>
      <c r="L84">
        <f>'例題7.1~7.4'!A34</f>
        <v>10</v>
      </c>
      <c r="M84">
        <f>SMALL(K86:K105,COUNTIF(K86:K105,"&lt;=0")+1)</f>
        <v>1.5</v>
      </c>
      <c r="N84">
        <f>VLOOKUP(M84,K86:L105,2,FALSE)</f>
        <v>28</v>
      </c>
      <c r="Q84">
        <f t="shared" si="40"/>
        <v>14</v>
      </c>
      <c r="R84">
        <f>教科書掲載表!R42</f>
        <v>44</v>
      </c>
      <c r="S84">
        <f>教科書掲載表!P42</f>
        <v>12</v>
      </c>
      <c r="T84">
        <f>教科書掲載表!Q42</f>
        <v>8</v>
      </c>
      <c r="V84">
        <f t="shared" si="43"/>
        <v>14</v>
      </c>
      <c r="W84">
        <f t="shared" si="44"/>
        <v>44</v>
      </c>
      <c r="X84">
        <f t="shared" si="45"/>
        <v>12</v>
      </c>
      <c r="Y84">
        <f t="shared" si="46"/>
        <v>8</v>
      </c>
      <c r="AE84">
        <f t="shared" si="48"/>
        <v>40</v>
      </c>
      <c r="AF84">
        <f>教科書掲載表!O86</f>
        <v>70</v>
      </c>
      <c r="AG84">
        <f>教科書掲載表!P86</f>
        <v>130</v>
      </c>
      <c r="AH84">
        <f>教科書掲載表!Q86</f>
        <v>100</v>
      </c>
      <c r="AI84">
        <f>教科書掲載表!R86</f>
        <v>25</v>
      </c>
      <c r="AJ84">
        <f>教科書掲載表!S86</f>
        <v>275</v>
      </c>
      <c r="AK84">
        <f>教科書掲載表!T86</f>
        <v>55</v>
      </c>
      <c r="AL84">
        <f>教科書掲載表!U86</f>
        <v>35</v>
      </c>
      <c r="AM84">
        <f>教科書掲載表!V86</f>
        <v>220</v>
      </c>
      <c r="AN84">
        <f>教科書掲載表!W86</f>
        <v>24</v>
      </c>
      <c r="AO84" t="str">
        <f>教科書掲載表!X86</f>
        <v>M22</v>
      </c>
      <c r="AR84">
        <f t="shared" si="34"/>
        <v>10</v>
      </c>
      <c r="AS84">
        <f>教科書付表!S33</f>
        <v>30</v>
      </c>
      <c r="AT84">
        <f>教科書付表!U33</f>
        <v>33</v>
      </c>
    </row>
    <row r="85" spans="1:46" x14ac:dyDescent="0.4">
      <c r="A85">
        <f t="shared" si="38"/>
        <v>-14.35</v>
      </c>
      <c r="B85">
        <f t="shared" si="37"/>
        <v>3.15</v>
      </c>
      <c r="F85">
        <f t="shared" si="32"/>
        <v>58.31</v>
      </c>
      <c r="G85">
        <f>教科書掲載表!A65</f>
        <v>75</v>
      </c>
      <c r="K85" t="s">
        <v>786</v>
      </c>
      <c r="L85" t="s">
        <v>813</v>
      </c>
      <c r="Q85">
        <f t="shared" si="40"/>
        <v>20</v>
      </c>
      <c r="R85">
        <f>教科書掲載表!R43</f>
        <v>50</v>
      </c>
      <c r="S85">
        <f>教科書掲載表!P43</f>
        <v>14</v>
      </c>
      <c r="T85">
        <f>教科書掲載表!Q43</f>
        <v>9</v>
      </c>
      <c r="V85">
        <f t="shared" si="43"/>
        <v>20</v>
      </c>
      <c r="W85">
        <f t="shared" si="44"/>
        <v>50</v>
      </c>
      <c r="X85">
        <f t="shared" si="45"/>
        <v>14</v>
      </c>
      <c r="Y85">
        <f t="shared" si="46"/>
        <v>9</v>
      </c>
      <c r="AR85">
        <f t="shared" si="34"/>
        <v>13</v>
      </c>
      <c r="AS85">
        <f>教科書付表!S34</f>
        <v>33</v>
      </c>
      <c r="AT85">
        <f>教科書付表!U34</f>
        <v>36</v>
      </c>
    </row>
    <row r="86" spans="1:46" x14ac:dyDescent="0.4">
      <c r="A86">
        <f t="shared" si="38"/>
        <v>-13.5</v>
      </c>
      <c r="B86">
        <f t="shared" si="37"/>
        <v>4</v>
      </c>
      <c r="F86">
        <f t="shared" si="32"/>
        <v>63.31</v>
      </c>
      <c r="G86">
        <f>教科書掲載表!A66</f>
        <v>80</v>
      </c>
      <c r="K86">
        <f>L86-$K$84</f>
        <v>-16.5</v>
      </c>
      <c r="L86">
        <f>IF($L$84=10,教科書掲載表!F42,IF($L$84=12,教科書掲載表!G42,IF($L$84=16,教科書掲載表!H42,IF($L$84=20,教科書掲載表!I42,IF($L$84=24,教科書掲載表!J42,IF($L$84=30,教科書掲載表!K42,教科書掲載表!L42))))))</f>
        <v>10</v>
      </c>
      <c r="Q86">
        <f t="shared" si="40"/>
        <v>28</v>
      </c>
      <c r="R86">
        <f>教科書掲載表!R44</f>
        <v>58</v>
      </c>
      <c r="S86">
        <f>教科書掲載表!P44</f>
        <v>16</v>
      </c>
      <c r="T86">
        <f>教科書掲載表!Q44</f>
        <v>10</v>
      </c>
      <c r="V86">
        <f t="shared" si="43"/>
        <v>28</v>
      </c>
      <c r="W86">
        <f t="shared" si="44"/>
        <v>58</v>
      </c>
      <c r="X86">
        <f t="shared" si="45"/>
        <v>16</v>
      </c>
      <c r="Y86">
        <f t="shared" si="46"/>
        <v>10</v>
      </c>
      <c r="AE86" t="s">
        <v>387</v>
      </c>
      <c r="AF86" t="s">
        <v>780</v>
      </c>
      <c r="AG86" t="str">
        <f>AG77</f>
        <v>D0</v>
      </c>
      <c r="AH86" t="str">
        <f t="shared" ref="AH86:AO86" si="49">AH77</f>
        <v>l</v>
      </c>
      <c r="AI86" t="str">
        <f t="shared" si="49"/>
        <v>j</v>
      </c>
      <c r="AJ86" t="str">
        <f t="shared" si="49"/>
        <v>a1</v>
      </c>
      <c r="AK86" t="str">
        <f t="shared" si="49"/>
        <v>g</v>
      </c>
      <c r="AL86" t="str">
        <f t="shared" si="49"/>
        <v>c</v>
      </c>
      <c r="AM86" t="str">
        <f t="shared" si="49"/>
        <v>a2</v>
      </c>
      <c r="AN86" t="str">
        <f t="shared" si="49"/>
        <v>e0</v>
      </c>
      <c r="AO86" t="str">
        <f t="shared" si="49"/>
        <v>e</v>
      </c>
      <c r="AR86">
        <f t="shared" si="34"/>
        <v>16</v>
      </c>
      <c r="AS86">
        <f>教科書付表!S35</f>
        <v>36</v>
      </c>
      <c r="AT86">
        <f>教科書付表!U35</f>
        <v>39</v>
      </c>
    </row>
    <row r="87" spans="1:46" x14ac:dyDescent="0.4">
      <c r="A87">
        <f t="shared" si="38"/>
        <v>-12.5</v>
      </c>
      <c r="B87">
        <f t="shared" si="37"/>
        <v>5</v>
      </c>
      <c r="F87">
        <f t="shared" si="32"/>
        <v>68.31</v>
      </c>
      <c r="G87">
        <f>教科書掲載表!A67</f>
        <v>85</v>
      </c>
      <c r="K87">
        <f t="shared" ref="K87:K105" si="50">L87-$K$84</f>
        <v>-14.5</v>
      </c>
      <c r="L87">
        <f>IF($L$84=10,教科書掲載表!F43,IF($L$84=12,教科書掲載表!G43,IF($L$84=16,教科書掲載表!H43,IF($L$84=20,教科書掲載表!I43,IF($L$84=24,教科書掲載表!J43,IF($L$84=30,教科書掲載表!K43,教科書掲載表!L43))))))</f>
        <v>12</v>
      </c>
      <c r="Q87">
        <f t="shared" si="40"/>
        <v>35</v>
      </c>
      <c r="R87">
        <f>教科書掲載表!R45</f>
        <v>65</v>
      </c>
      <c r="S87">
        <f>教科書掲載表!P45</f>
        <v>18</v>
      </c>
      <c r="T87">
        <f>教科書掲載表!Q45</f>
        <v>11</v>
      </c>
      <c r="V87">
        <f t="shared" si="43"/>
        <v>35</v>
      </c>
      <c r="W87">
        <f t="shared" si="44"/>
        <v>65</v>
      </c>
      <c r="X87">
        <f t="shared" si="45"/>
        <v>18</v>
      </c>
      <c r="Y87">
        <f t="shared" si="46"/>
        <v>11</v>
      </c>
      <c r="AE87">
        <f>'9章'!A4</f>
        <v>30</v>
      </c>
      <c r="AF87">
        <f>IF(SMALL(AE89:AE104,COUNTIF(AE89:AE104,"&lt;=0"))=0,SMALL(AE89:AE104,COUNTIF(AE89:AE104,"&lt;=0")),SMALL(AE89:AE104,COUNTIF(AE89:AE104,"&lt;=0")+1))</f>
        <v>0</v>
      </c>
      <c r="AG87">
        <f>VLOOKUP($AF$87,$AE$89:$AO$93,AG75)</f>
        <v>65</v>
      </c>
      <c r="AH87">
        <f t="shared" ref="AH87:AO87" si="51">VLOOKUP($AF$87,$AE$89:$AO$93,AH75)</f>
        <v>60</v>
      </c>
      <c r="AI87">
        <f t="shared" si="51"/>
        <v>20</v>
      </c>
      <c r="AJ87">
        <f t="shared" si="51"/>
        <v>155</v>
      </c>
      <c r="AK87">
        <f t="shared" si="51"/>
        <v>35</v>
      </c>
      <c r="AL87">
        <f t="shared" si="51"/>
        <v>20</v>
      </c>
      <c r="AM87">
        <f t="shared" si="51"/>
        <v>120</v>
      </c>
      <c r="AN87">
        <f t="shared" si="51"/>
        <v>14</v>
      </c>
      <c r="AO87" t="str">
        <f t="shared" si="51"/>
        <v>M12</v>
      </c>
      <c r="AR87">
        <f t="shared" si="34"/>
        <v>19</v>
      </c>
      <c r="AS87">
        <f>教科書付表!S36</f>
        <v>39</v>
      </c>
      <c r="AT87">
        <f>教科書付表!U36</f>
        <v>42</v>
      </c>
    </row>
    <row r="88" spans="1:46" x14ac:dyDescent="0.4">
      <c r="A88">
        <f t="shared" si="38"/>
        <v>-11.2</v>
      </c>
      <c r="B88">
        <f t="shared" si="37"/>
        <v>6.3</v>
      </c>
      <c r="F88">
        <f t="shared" si="32"/>
        <v>73.31</v>
      </c>
      <c r="G88">
        <f>教科書掲載表!A68</f>
        <v>90</v>
      </c>
      <c r="K88">
        <f t="shared" si="50"/>
        <v>-12.5</v>
      </c>
      <c r="L88">
        <f>IF($L$84=10,教科書掲載表!F44,IF($L$84=12,教科書掲載表!G44,IF($L$84=16,教科書掲載表!H44,IF($L$84=20,教科書掲載表!I44,IF($L$84=24,教科書掲載表!J44,IF($L$84=30,教科書掲載表!K44,教科書掲載表!L44))))))</f>
        <v>14</v>
      </c>
      <c r="Q88">
        <f t="shared" si="40"/>
        <v>45</v>
      </c>
      <c r="R88">
        <f>教科書掲載表!R46</f>
        <v>75</v>
      </c>
      <c r="S88">
        <f>教科書掲載表!P46</f>
        <v>20</v>
      </c>
      <c r="T88">
        <f>教科書掲載表!Q46</f>
        <v>12</v>
      </c>
      <c r="V88">
        <f t="shared" si="43"/>
        <v>45</v>
      </c>
      <c r="W88">
        <f t="shared" si="44"/>
        <v>75</v>
      </c>
      <c r="X88">
        <f t="shared" si="45"/>
        <v>20</v>
      </c>
      <c r="Y88">
        <f t="shared" si="46"/>
        <v>12</v>
      </c>
      <c r="AE88" t="s">
        <v>786</v>
      </c>
      <c r="AF88" t="str">
        <f>AF79</f>
        <v>軸受けd</v>
      </c>
      <c r="AG88" t="str">
        <f t="shared" ref="AG88:AO88" si="52">AG79</f>
        <v>D0</v>
      </c>
      <c r="AH88" t="str">
        <f t="shared" si="52"/>
        <v>l</v>
      </c>
      <c r="AI88" t="str">
        <f t="shared" si="52"/>
        <v>j</v>
      </c>
      <c r="AJ88" t="str">
        <f t="shared" si="52"/>
        <v>a1</v>
      </c>
      <c r="AK88" t="str">
        <f t="shared" si="52"/>
        <v>g</v>
      </c>
      <c r="AL88" t="str">
        <f t="shared" si="52"/>
        <v>c</v>
      </c>
      <c r="AM88" t="str">
        <f t="shared" si="52"/>
        <v>a2</v>
      </c>
      <c r="AN88" t="str">
        <f t="shared" si="52"/>
        <v>e0</v>
      </c>
      <c r="AO88" t="str">
        <f t="shared" si="52"/>
        <v>e</v>
      </c>
      <c r="AR88">
        <f t="shared" si="34"/>
        <v>22</v>
      </c>
      <c r="AS88">
        <f>教科書付表!S37</f>
        <v>42</v>
      </c>
      <c r="AT88">
        <f>教科書付表!U37</f>
        <v>45</v>
      </c>
    </row>
    <row r="89" spans="1:46" x14ac:dyDescent="0.4">
      <c r="A89">
        <f t="shared" si="38"/>
        <v>-9.5</v>
      </c>
      <c r="B89">
        <f t="shared" si="37"/>
        <v>8</v>
      </c>
      <c r="F89">
        <f t="shared" si="32"/>
        <v>78.31</v>
      </c>
      <c r="G89">
        <f>教科書掲載表!A69</f>
        <v>95</v>
      </c>
      <c r="K89">
        <f t="shared" si="50"/>
        <v>-10.5</v>
      </c>
      <c r="L89">
        <f>IF($L$84=10,教科書掲載表!F45,IF($L$84=12,教科書掲載表!G45,IF($L$84=16,教科書掲載表!H45,IF($L$84=20,教科書掲載表!I45,IF($L$84=24,教科書掲載表!J45,IF($L$84=30,教科書掲載表!K45,教科書掲載表!L45))))))</f>
        <v>16</v>
      </c>
      <c r="Q89">
        <f t="shared" si="40"/>
        <v>55</v>
      </c>
      <c r="R89">
        <f>教科書掲載表!R47</f>
        <v>85</v>
      </c>
      <c r="S89">
        <f>教科書掲載表!P47</f>
        <v>22</v>
      </c>
      <c r="T89">
        <f>教科書掲載表!Q47</f>
        <v>14</v>
      </c>
      <c r="V89">
        <f t="shared" si="43"/>
        <v>55</v>
      </c>
      <c r="W89">
        <f t="shared" si="44"/>
        <v>85</v>
      </c>
      <c r="X89">
        <f t="shared" si="45"/>
        <v>22</v>
      </c>
      <c r="Y89">
        <f t="shared" si="46"/>
        <v>14</v>
      </c>
      <c r="AE89">
        <f>AF89-$AE$87</f>
        <v>0</v>
      </c>
      <c r="AF89">
        <f t="shared" ref="AF89:AO89" si="53">AF80</f>
        <v>30</v>
      </c>
      <c r="AG89">
        <f t="shared" si="53"/>
        <v>65</v>
      </c>
      <c r="AH89">
        <f t="shared" si="53"/>
        <v>60</v>
      </c>
      <c r="AI89">
        <f t="shared" si="53"/>
        <v>20</v>
      </c>
      <c r="AJ89">
        <f t="shared" si="53"/>
        <v>155</v>
      </c>
      <c r="AK89">
        <f t="shared" si="53"/>
        <v>35</v>
      </c>
      <c r="AL89">
        <f t="shared" si="53"/>
        <v>20</v>
      </c>
      <c r="AM89">
        <f t="shared" si="53"/>
        <v>120</v>
      </c>
      <c r="AN89">
        <f t="shared" si="53"/>
        <v>14</v>
      </c>
      <c r="AO89" t="str">
        <f t="shared" si="53"/>
        <v>M12</v>
      </c>
      <c r="AR89">
        <f t="shared" si="34"/>
        <v>25</v>
      </c>
      <c r="AS89">
        <f>教科書付表!S38</f>
        <v>45</v>
      </c>
      <c r="AT89">
        <f>教科書付表!U38</f>
        <v>48</v>
      </c>
    </row>
    <row r="90" spans="1:46" x14ac:dyDescent="0.4">
      <c r="A90">
        <f t="shared" si="38"/>
        <v>-7.5</v>
      </c>
      <c r="B90">
        <f t="shared" si="37"/>
        <v>10</v>
      </c>
      <c r="F90">
        <f t="shared" si="32"/>
        <v>83.31</v>
      </c>
      <c r="G90">
        <f>教科書掲載表!A70</f>
        <v>100</v>
      </c>
      <c r="K90">
        <f t="shared" si="50"/>
        <v>-8.5</v>
      </c>
      <c r="L90">
        <f>IF($L$84=10,教科書掲載表!F46,IF($L$84=12,教科書掲載表!G46,IF($L$84=16,教科書掲載表!H46,IF($L$84=20,教科書掲載表!I46,IF($L$84=24,教科書掲載表!J46,IF($L$84=30,教科書掲載表!K46,教科書掲載表!L46))))))</f>
        <v>18</v>
      </c>
      <c r="Q90">
        <f t="shared" si="40"/>
        <v>65</v>
      </c>
      <c r="R90">
        <f>教科書掲載表!R48</f>
        <v>95</v>
      </c>
      <c r="S90">
        <f>教科書掲載表!P48</f>
        <v>25</v>
      </c>
      <c r="T90">
        <f>教科書掲載表!Q48</f>
        <v>14</v>
      </c>
      <c r="V90">
        <f t="shared" si="43"/>
        <v>65</v>
      </c>
      <c r="W90">
        <f t="shared" si="44"/>
        <v>95</v>
      </c>
      <c r="X90">
        <f t="shared" si="45"/>
        <v>25</v>
      </c>
      <c r="Y90">
        <f t="shared" si="46"/>
        <v>14</v>
      </c>
      <c r="AE90">
        <f t="shared" ref="AE90:AE93" si="54">AF90-$AE$78</f>
        <v>10</v>
      </c>
      <c r="AF90">
        <f t="shared" ref="AF90:AO90" si="55">AF81</f>
        <v>40</v>
      </c>
      <c r="AG90">
        <f t="shared" si="55"/>
        <v>80</v>
      </c>
      <c r="AH90">
        <f t="shared" si="55"/>
        <v>70</v>
      </c>
      <c r="AI90">
        <f t="shared" si="55"/>
        <v>20</v>
      </c>
      <c r="AJ90">
        <f t="shared" si="55"/>
        <v>180</v>
      </c>
      <c r="AK90">
        <f t="shared" si="55"/>
        <v>40</v>
      </c>
      <c r="AL90">
        <f t="shared" si="55"/>
        <v>25</v>
      </c>
      <c r="AM90">
        <f t="shared" si="55"/>
        <v>140</v>
      </c>
      <c r="AN90">
        <f t="shared" si="55"/>
        <v>18</v>
      </c>
      <c r="AO90" t="str">
        <f t="shared" si="55"/>
        <v>M16</v>
      </c>
      <c r="AR90">
        <f t="shared" si="34"/>
        <v>28</v>
      </c>
      <c r="AS90">
        <f>教科書付表!S39</f>
        <v>48</v>
      </c>
      <c r="AT90">
        <f>教科書付表!U39</f>
        <v>52</v>
      </c>
    </row>
    <row r="91" spans="1:46" x14ac:dyDescent="0.4">
      <c r="A91">
        <f t="shared" si="38"/>
        <v>-5</v>
      </c>
      <c r="B91">
        <f t="shared" si="37"/>
        <v>12.5</v>
      </c>
      <c r="F91">
        <f t="shared" si="32"/>
        <v>93.31</v>
      </c>
      <c r="G91">
        <f>教科書掲載表!A71</f>
        <v>110</v>
      </c>
      <c r="K91">
        <f t="shared" si="50"/>
        <v>-6.5</v>
      </c>
      <c r="L91">
        <f>IF($L$84=10,教科書掲載表!F47,IF($L$84=12,教科書掲載表!G47,IF($L$84=16,教科書掲載表!H47,IF($L$84=20,教科書掲載表!I47,IF($L$84=24,教科書掲載表!J47,IF($L$84=30,教科書掲載表!K47,教科書掲載表!L47))))))</f>
        <v>20</v>
      </c>
      <c r="Q91">
        <f t="shared" si="40"/>
        <v>80</v>
      </c>
      <c r="R91">
        <f>教科書掲載表!R49</f>
        <v>110</v>
      </c>
      <c r="S91">
        <f>教科書掲載表!P49</f>
        <v>28</v>
      </c>
      <c r="T91">
        <f>教科書掲載表!Q49</f>
        <v>16</v>
      </c>
      <c r="V91">
        <f t="shared" si="43"/>
        <v>80</v>
      </c>
      <c r="W91">
        <f t="shared" si="44"/>
        <v>110</v>
      </c>
      <c r="X91">
        <f t="shared" si="45"/>
        <v>28</v>
      </c>
      <c r="Y91">
        <f t="shared" si="46"/>
        <v>16</v>
      </c>
      <c r="AE91">
        <f t="shared" si="54"/>
        <v>20</v>
      </c>
      <c r="AF91">
        <f t="shared" ref="AF91:AO91" si="56">AF82</f>
        <v>50</v>
      </c>
      <c r="AG91">
        <f t="shared" si="56"/>
        <v>90</v>
      </c>
      <c r="AH91">
        <f t="shared" si="56"/>
        <v>80</v>
      </c>
      <c r="AI91">
        <f t="shared" si="56"/>
        <v>20</v>
      </c>
      <c r="AJ91">
        <f t="shared" si="56"/>
        <v>210</v>
      </c>
      <c r="AK91">
        <f t="shared" si="56"/>
        <v>50</v>
      </c>
      <c r="AL91">
        <f t="shared" si="56"/>
        <v>30</v>
      </c>
      <c r="AM91">
        <f t="shared" si="56"/>
        <v>160</v>
      </c>
      <c r="AN91">
        <f t="shared" si="56"/>
        <v>21</v>
      </c>
      <c r="AO91" t="str">
        <f t="shared" si="56"/>
        <v>M20</v>
      </c>
      <c r="AR91">
        <f t="shared" si="34"/>
        <v>32</v>
      </c>
      <c r="AS91">
        <f>教科書付表!S40</f>
        <v>52</v>
      </c>
      <c r="AT91">
        <f>教科書付表!U40</f>
        <v>56</v>
      </c>
    </row>
    <row r="92" spans="1:46" x14ac:dyDescent="0.4">
      <c r="A92">
        <f t="shared" si="38"/>
        <v>-1.5</v>
      </c>
      <c r="B92">
        <f t="shared" si="37"/>
        <v>16</v>
      </c>
      <c r="F92">
        <f t="shared" si="32"/>
        <v>103.31</v>
      </c>
      <c r="G92">
        <f>教科書掲載表!A72</f>
        <v>120</v>
      </c>
      <c r="K92">
        <f t="shared" si="50"/>
        <v>-4.5</v>
      </c>
      <c r="L92">
        <f>IF($L$84=10,教科書掲載表!F48,IF($L$84=12,教科書掲載表!G48,IF($L$84=16,教科書掲載表!H48,IF($L$84=20,教科書掲載表!I48,IF($L$84=24,教科書掲載表!J48,IF($L$84=30,教科書掲載表!K48,教科書掲載表!L48))))))</f>
        <v>22</v>
      </c>
      <c r="Q92">
        <f t="shared" si="40"/>
        <v>100</v>
      </c>
      <c r="R92">
        <f>教科書掲載表!R50</f>
        <v>130</v>
      </c>
      <c r="S92">
        <f>教科書掲載表!P50</f>
        <v>32</v>
      </c>
      <c r="T92">
        <f>教科書掲載表!Q50</f>
        <v>18</v>
      </c>
      <c r="V92">
        <f t="shared" si="43"/>
        <v>100</v>
      </c>
      <c r="W92">
        <f t="shared" si="44"/>
        <v>130</v>
      </c>
      <c r="X92">
        <f t="shared" si="45"/>
        <v>32</v>
      </c>
      <c r="Y92">
        <f t="shared" si="46"/>
        <v>18</v>
      </c>
      <c r="AE92">
        <f t="shared" si="54"/>
        <v>30</v>
      </c>
      <c r="AF92">
        <f t="shared" ref="AF92:AO92" si="57">AF83</f>
        <v>60</v>
      </c>
      <c r="AG92">
        <f t="shared" si="57"/>
        <v>110</v>
      </c>
      <c r="AH92">
        <f t="shared" si="57"/>
        <v>90</v>
      </c>
      <c r="AI92">
        <f t="shared" si="57"/>
        <v>25</v>
      </c>
      <c r="AJ92">
        <f t="shared" si="57"/>
        <v>240</v>
      </c>
      <c r="AK92">
        <f t="shared" si="57"/>
        <v>55</v>
      </c>
      <c r="AL92">
        <f t="shared" si="57"/>
        <v>30</v>
      </c>
      <c r="AM92">
        <f t="shared" si="57"/>
        <v>190</v>
      </c>
      <c r="AN92">
        <f t="shared" si="57"/>
        <v>21</v>
      </c>
      <c r="AO92" t="str">
        <f t="shared" si="57"/>
        <v>M20</v>
      </c>
      <c r="AR92">
        <f t="shared" si="34"/>
        <v>36</v>
      </c>
      <c r="AS92">
        <f>教科書付表!S41</f>
        <v>56</v>
      </c>
      <c r="AT92">
        <f>教科書付表!U41</f>
        <v>62</v>
      </c>
    </row>
    <row r="93" spans="1:46" x14ac:dyDescent="0.4">
      <c r="A93">
        <f t="shared" si="38"/>
        <v>2.5</v>
      </c>
      <c r="B93">
        <f t="shared" si="37"/>
        <v>20</v>
      </c>
      <c r="F93">
        <f t="shared" si="32"/>
        <v>113.31</v>
      </c>
      <c r="G93">
        <f>教科書掲載表!A73</f>
        <v>130</v>
      </c>
      <c r="K93">
        <f t="shared" si="50"/>
        <v>-2.5</v>
      </c>
      <c r="L93">
        <f>IF($L$84=10,教科書掲載表!F49,IF($L$84=12,教科書掲載表!G49,IF($L$84=16,教科書掲載表!H49,IF($L$84=20,教科書掲載表!I49,IF($L$84=24,教科書掲載表!J49,IF($L$84=30,教科書掲載表!K49,教科書掲載表!L49))))))</f>
        <v>24</v>
      </c>
      <c r="AE93">
        <f t="shared" si="54"/>
        <v>40</v>
      </c>
      <c r="AF93">
        <f t="shared" ref="AF93:AO93" si="58">AF84</f>
        <v>70</v>
      </c>
      <c r="AG93">
        <f t="shared" si="58"/>
        <v>130</v>
      </c>
      <c r="AH93">
        <f t="shared" si="58"/>
        <v>100</v>
      </c>
      <c r="AI93">
        <f t="shared" si="58"/>
        <v>25</v>
      </c>
      <c r="AJ93">
        <f t="shared" si="58"/>
        <v>275</v>
      </c>
      <c r="AK93">
        <f t="shared" si="58"/>
        <v>55</v>
      </c>
      <c r="AL93">
        <f t="shared" si="58"/>
        <v>35</v>
      </c>
      <c r="AM93">
        <f t="shared" si="58"/>
        <v>220</v>
      </c>
      <c r="AN93">
        <f t="shared" si="58"/>
        <v>24</v>
      </c>
      <c r="AO93" t="str">
        <f t="shared" si="58"/>
        <v>M22</v>
      </c>
      <c r="AR93">
        <f t="shared" si="34"/>
        <v>40</v>
      </c>
      <c r="AS93">
        <f>教科書付表!S42</f>
        <v>60</v>
      </c>
      <c r="AT93">
        <f>教科書付表!U42</f>
        <v>66</v>
      </c>
    </row>
    <row r="94" spans="1:46" x14ac:dyDescent="0.4">
      <c r="A94">
        <f t="shared" si="38"/>
        <v>7.5</v>
      </c>
      <c r="B94">
        <f t="shared" si="37"/>
        <v>25</v>
      </c>
      <c r="F94">
        <f t="shared" si="32"/>
        <v>123.31</v>
      </c>
      <c r="G94">
        <f>教科書掲載表!A74</f>
        <v>140</v>
      </c>
      <c r="K94">
        <f t="shared" si="50"/>
        <v>-0.5</v>
      </c>
      <c r="L94">
        <f>IF($L$84=10,教科書掲載表!F50,IF($L$84=12,教科書掲載表!G50,IF($L$84=16,教科書掲載表!H50,IF($L$84=20,教科書掲載表!I50,IF($L$84=24,教科書掲載表!J50,IF($L$84=30,教科書掲載表!K50,教科書掲載表!L50))))))</f>
        <v>26</v>
      </c>
      <c r="AR94">
        <f t="shared" si="34"/>
        <v>44</v>
      </c>
      <c r="AS94">
        <f>教科書付表!S43</f>
        <v>64</v>
      </c>
      <c r="AT94">
        <f>教科書付表!U43</f>
        <v>70</v>
      </c>
    </row>
    <row r="95" spans="1:46" x14ac:dyDescent="0.4">
      <c r="A95">
        <f t="shared" si="38"/>
        <v>14</v>
      </c>
      <c r="B95">
        <f t="shared" si="37"/>
        <v>31.5</v>
      </c>
      <c r="F95">
        <f t="shared" si="32"/>
        <v>133.31</v>
      </c>
      <c r="G95">
        <f>教科書掲載表!A75</f>
        <v>150</v>
      </c>
      <c r="K95">
        <f t="shared" si="50"/>
        <v>1.5</v>
      </c>
      <c r="L95">
        <f>IF($L$84=10,教科書掲載表!F51,IF($L$84=12,教科書掲載表!G51,IF($L$84=16,教科書掲載表!H51,IF($L$84=20,教科書掲載表!I51,IF($L$84=24,教科書掲載表!J51,IF($L$84=30,教科書掲載表!K51,教科書掲載表!L51))))))</f>
        <v>28</v>
      </c>
      <c r="R95">
        <v>3</v>
      </c>
      <c r="S95">
        <f>R95+1</f>
        <v>4</v>
      </c>
      <c r="T95">
        <f t="shared" ref="T95:AB95" si="59">S95+1</f>
        <v>5</v>
      </c>
      <c r="U95">
        <f t="shared" si="59"/>
        <v>6</v>
      </c>
      <c r="V95">
        <f t="shared" si="59"/>
        <v>7</v>
      </c>
      <c r="W95">
        <f t="shared" si="59"/>
        <v>8</v>
      </c>
      <c r="X95">
        <f t="shared" si="59"/>
        <v>9</v>
      </c>
      <c r="Y95">
        <f t="shared" si="59"/>
        <v>10</v>
      </c>
      <c r="Z95">
        <f t="shared" si="59"/>
        <v>11</v>
      </c>
      <c r="AA95">
        <f t="shared" si="59"/>
        <v>12</v>
      </c>
      <c r="AB95">
        <f t="shared" si="59"/>
        <v>13</v>
      </c>
      <c r="AR95">
        <f t="shared" si="34"/>
        <v>48</v>
      </c>
      <c r="AS95">
        <f>教科書付表!S44</f>
        <v>68</v>
      </c>
      <c r="AT95">
        <f>教科書付表!U44</f>
        <v>74</v>
      </c>
    </row>
    <row r="96" spans="1:46" x14ac:dyDescent="0.4">
      <c r="A96">
        <f t="shared" si="38"/>
        <v>22.5</v>
      </c>
      <c r="B96">
        <f t="shared" si="37"/>
        <v>40</v>
      </c>
      <c r="F96">
        <f t="shared" si="32"/>
        <v>143.31</v>
      </c>
      <c r="G96">
        <f>教科書掲載表!A76</f>
        <v>160</v>
      </c>
      <c r="K96">
        <f t="shared" si="50"/>
        <v>3.5</v>
      </c>
      <c r="L96">
        <f>IF($L$84=10,教科書掲載表!F52,IF($L$84=12,教科書掲載表!G52,IF($L$84=16,教科書掲載表!H52,IF($L$84=20,教科書掲載表!I52,IF($L$84=24,教科書掲載表!J52,IF($L$84=30,教科書掲載表!K52,教科書掲載表!L52))))))</f>
        <v>30</v>
      </c>
      <c r="R96" t="s">
        <v>59</v>
      </c>
      <c r="AG96">
        <v>2</v>
      </c>
      <c r="AH96">
        <v>3</v>
      </c>
      <c r="AI96">
        <v>4</v>
      </c>
      <c r="AJ96">
        <v>5</v>
      </c>
      <c r="AK96">
        <v>6</v>
      </c>
      <c r="AL96">
        <v>7</v>
      </c>
      <c r="AR96">
        <f t="shared" si="34"/>
        <v>52</v>
      </c>
      <c r="AS96">
        <f>教科書付表!S45</f>
        <v>72</v>
      </c>
      <c r="AT96">
        <f>教科書付表!U45</f>
        <v>78</v>
      </c>
    </row>
    <row r="97" spans="1:46" x14ac:dyDescent="0.4">
      <c r="A97">
        <f t="shared" si="38"/>
        <v>32.5</v>
      </c>
      <c r="B97">
        <f t="shared" si="37"/>
        <v>50</v>
      </c>
      <c r="F97">
        <f t="shared" si="32"/>
        <v>163.31</v>
      </c>
      <c r="G97">
        <f>教科書掲載表!A77</f>
        <v>180</v>
      </c>
      <c r="K97">
        <f t="shared" si="50"/>
        <v>5.5</v>
      </c>
      <c r="L97">
        <f>IF($L$84=10,教科書掲載表!F53,IF($L$84=12,教科書掲載表!G53,IF($L$84=16,教科書掲載表!H53,IF($L$84=20,教科書掲載表!I53,IF($L$84=24,教科書掲載表!J53,IF($L$84=30,教科書掲載表!K53,教科書掲載表!L53))))))</f>
        <v>32</v>
      </c>
      <c r="P97" t="s">
        <v>17</v>
      </c>
      <c r="Q97" t="s">
        <v>780</v>
      </c>
      <c r="R97" t="str">
        <f>R99</f>
        <v>J</v>
      </c>
      <c r="S97" t="str">
        <f t="shared" ref="S97:AB97" si="60">S99</f>
        <v>A</v>
      </c>
      <c r="T97" t="str">
        <f t="shared" si="60"/>
        <v>B</v>
      </c>
      <c r="U97" t="str">
        <f t="shared" si="60"/>
        <v>C</v>
      </c>
      <c r="V97" t="str">
        <f t="shared" si="60"/>
        <v>d</v>
      </c>
      <c r="W97" t="str">
        <f t="shared" si="60"/>
        <v>F</v>
      </c>
      <c r="X97" t="str">
        <f t="shared" si="60"/>
        <v>G</v>
      </c>
      <c r="Y97" t="str">
        <f t="shared" si="60"/>
        <v>H</v>
      </c>
      <c r="Z97" t="str">
        <f t="shared" si="60"/>
        <v>t</v>
      </c>
      <c r="AA97" t="str">
        <f t="shared" si="60"/>
        <v>ボルト径</v>
      </c>
      <c r="AB97" t="str">
        <f t="shared" si="60"/>
        <v>ボルト長さ</v>
      </c>
      <c r="AE97" t="s">
        <v>210</v>
      </c>
      <c r="AF97" t="s">
        <v>978</v>
      </c>
      <c r="AG97" t="str">
        <f>AF99</f>
        <v>DB</v>
      </c>
      <c r="AH97" t="str">
        <f t="shared" ref="AH97:AL97" si="61">AG99</f>
        <v>ブレーキ輪の幅</v>
      </c>
      <c r="AI97" t="str">
        <f t="shared" si="61"/>
        <v>帯の幅</v>
      </c>
      <c r="AJ97" t="str">
        <f t="shared" si="61"/>
        <v>帯の厚さ</v>
      </c>
      <c r="AK97" t="str">
        <f t="shared" si="61"/>
        <v>裏張りの幅</v>
      </c>
      <c r="AL97" t="str">
        <f t="shared" si="61"/>
        <v>裏張りの厚さ</v>
      </c>
      <c r="AR97">
        <f t="shared" si="34"/>
        <v>56</v>
      </c>
      <c r="AS97">
        <f>教科書付表!S46</f>
        <v>76</v>
      </c>
      <c r="AT97">
        <f>教科書付表!U46</f>
        <v>82</v>
      </c>
    </row>
    <row r="98" spans="1:46" x14ac:dyDescent="0.4">
      <c r="A98">
        <f t="shared" si="38"/>
        <v>45.5</v>
      </c>
      <c r="B98">
        <f t="shared" si="37"/>
        <v>63</v>
      </c>
      <c r="F98">
        <f t="shared" si="32"/>
        <v>183.31</v>
      </c>
      <c r="G98">
        <f>教科書掲載表!A78</f>
        <v>200</v>
      </c>
      <c r="K98">
        <f t="shared" si="50"/>
        <v>7.5</v>
      </c>
      <c r="L98">
        <f>IF($L$84=10,教科書掲載表!F54,IF($L$84=12,教科書掲載表!G54,IF($L$84=16,教科書掲載表!H54,IF($L$84=20,教科書掲載表!I54,IF($L$84=24,教科書掲載表!J54,IF($L$84=30,教科書掲載表!K54,教科書掲載表!L54))))))</f>
        <v>34</v>
      </c>
      <c r="P98">
        <f>第Ⅲ軸!A38</f>
        <v>55</v>
      </c>
      <c r="Q98">
        <f>IF(SMALL(P100:P115,COUNTIF(P100:P115,"&lt;=0"))=0,SMALL(P100:P115,COUNTIF(P100:P115,"&lt;=0")),SMALL(P100:P115,COUNTIF(P100:P115,"&lt;=0")+1))</f>
        <v>0</v>
      </c>
      <c r="R98">
        <f>VLOOKUP($Q$98,$P$100:$AB$107,R95)</f>
        <v>37.5</v>
      </c>
      <c r="S98">
        <f t="shared" ref="S98:AB98" si="62">VLOOKUP($Q$98,$P$100:$AB$107,S95)</f>
        <v>38</v>
      </c>
      <c r="T98">
        <f t="shared" si="62"/>
        <v>98</v>
      </c>
      <c r="U98">
        <f t="shared" si="62"/>
        <v>60</v>
      </c>
      <c r="V98">
        <f t="shared" si="62"/>
        <v>17</v>
      </c>
      <c r="W98">
        <f t="shared" si="62"/>
        <v>10</v>
      </c>
      <c r="X98">
        <f t="shared" si="62"/>
        <v>12</v>
      </c>
      <c r="Y98">
        <f t="shared" si="62"/>
        <v>10</v>
      </c>
      <c r="Z98">
        <f t="shared" si="62"/>
        <v>8.8000000000000007</v>
      </c>
      <c r="AA98">
        <f t="shared" si="62"/>
        <v>16</v>
      </c>
      <c r="AB98">
        <f t="shared" si="62"/>
        <v>28</v>
      </c>
      <c r="AE98">
        <f>'例題7.1~7.4'!D2</f>
        <v>378</v>
      </c>
      <c r="AF98">
        <f>IF(MAX(AE100:AE105)&lt;0,MAX(AE100:AE105),IF(SMALL(AE100:AE105,COUNTIF(AE100:AE105,"&lt;=0"))=0,SMALL(AE100:AE105,COUNTIF(AE100:AE105,"&lt;=0")),SMALL(AE100:AE105,COUNTIF(AE100:AE105,"&lt;=0")+1)))</f>
        <v>22</v>
      </c>
      <c r="AG98" cm="1">
        <f t="array" ref="AG98:AL98">_xlfn.XLOOKUP(AF98,AE100:AE105,AF100:AK105)</f>
        <v>400</v>
      </c>
      <c r="AH98">
        <v>80</v>
      </c>
      <c r="AI98">
        <v>80</v>
      </c>
      <c r="AJ98">
        <v>4</v>
      </c>
      <c r="AK98">
        <v>80</v>
      </c>
      <c r="AL98">
        <v>8</v>
      </c>
      <c r="AR98">
        <f t="shared" si="34"/>
        <v>60</v>
      </c>
      <c r="AS98">
        <f>教科書付表!S47</f>
        <v>80</v>
      </c>
      <c r="AT98">
        <f>教科書付表!U47</f>
        <v>86</v>
      </c>
    </row>
    <row r="99" spans="1:46" x14ac:dyDescent="0.4">
      <c r="A99">
        <f t="shared" si="38"/>
        <v>62.5</v>
      </c>
      <c r="B99">
        <f t="shared" si="37"/>
        <v>80</v>
      </c>
      <c r="K99">
        <f t="shared" si="50"/>
        <v>9.5</v>
      </c>
      <c r="L99">
        <f>IF($L$84=10,教科書掲載表!F55,IF($L$84=12,教科書掲載表!G55,IF($L$84=16,教科書掲載表!H55,IF($L$84=20,教科書掲載表!I55,IF($L$84=24,教科書掲載表!J55,IF($L$84=30,教科書掲載表!K55,教科書掲載表!L55))))))</f>
        <v>36</v>
      </c>
      <c r="P99" t="s">
        <v>786</v>
      </c>
      <c r="Q99" t="s">
        <v>738</v>
      </c>
      <c r="R99" t="str">
        <f>教科書掲載表!B81</f>
        <v>J</v>
      </c>
      <c r="S99" t="str">
        <f>教科書掲載表!C81</f>
        <v>A</v>
      </c>
      <c r="T99" t="str">
        <f>教科書掲載表!D81</f>
        <v>B</v>
      </c>
      <c r="U99" t="str">
        <f>教科書掲載表!E81</f>
        <v>C</v>
      </c>
      <c r="V99" t="str">
        <f>教科書掲載表!F81</f>
        <v>d</v>
      </c>
      <c r="W99" t="str">
        <f>教科書掲載表!G81</f>
        <v>F</v>
      </c>
      <c r="X99" t="str">
        <f>教科書掲載表!H81</f>
        <v>G</v>
      </c>
      <c r="Y99" t="str">
        <f>教科書掲載表!I81</f>
        <v>H</v>
      </c>
      <c r="Z99" t="str">
        <f>教科書掲載表!J81</f>
        <v>t</v>
      </c>
      <c r="AA99" t="str">
        <f>教科書掲載表!K81</f>
        <v>ボルト径</v>
      </c>
      <c r="AB99" t="str">
        <f>教科書掲載表!L81</f>
        <v>ボルト長さ</v>
      </c>
      <c r="AE99" t="s">
        <v>786</v>
      </c>
      <c r="AF99" t="s">
        <v>210</v>
      </c>
      <c r="AG99" t="s">
        <v>979</v>
      </c>
      <c r="AH99" t="s">
        <v>980</v>
      </c>
      <c r="AI99" t="s">
        <v>755</v>
      </c>
      <c r="AJ99" t="s">
        <v>981</v>
      </c>
      <c r="AK99" t="s">
        <v>982</v>
      </c>
      <c r="AR99">
        <f t="shared" si="34"/>
        <v>65</v>
      </c>
      <c r="AS99">
        <f>教科書付表!S48</f>
        <v>85</v>
      </c>
      <c r="AT99">
        <f>教科書付表!U48</f>
        <v>91</v>
      </c>
    </row>
    <row r="100" spans="1:46" x14ac:dyDescent="0.4">
      <c r="A100">
        <f t="shared" si="38"/>
        <v>82.5</v>
      </c>
      <c r="B100">
        <f t="shared" si="37"/>
        <v>100</v>
      </c>
      <c r="K100">
        <f t="shared" si="50"/>
        <v>11.5</v>
      </c>
      <c r="L100">
        <f>IF($L$84=10,教科書掲載表!F56,IF($L$84=12,教科書掲載表!G56,IF($L$84=16,教科書掲載表!H56,IF($L$84=20,教科書掲載表!I56,IF($L$84=24,教科書掲載表!J56,IF($L$84=30,教科書掲載表!K56,教科書掲載表!L56))))))</f>
        <v>38</v>
      </c>
      <c r="P100">
        <f>Q100-$P$98</f>
        <v>-20</v>
      </c>
      <c r="Q100">
        <f>教科書掲載表!A82</f>
        <v>35</v>
      </c>
      <c r="R100">
        <f>教科書掲載表!B82</f>
        <v>26.5</v>
      </c>
      <c r="S100">
        <f>教科書掲載表!C82</f>
        <v>28</v>
      </c>
      <c r="T100">
        <f>教科書掲載表!D82</f>
        <v>68</v>
      </c>
      <c r="U100">
        <f>教科書掲載表!E82</f>
        <v>40</v>
      </c>
      <c r="V100">
        <f>教科書掲載表!F82</f>
        <v>10.5</v>
      </c>
      <c r="W100">
        <f>教科書掲載表!G82</f>
        <v>8</v>
      </c>
      <c r="X100">
        <f>教科書掲載表!H82</f>
        <v>12</v>
      </c>
      <c r="Y100">
        <f>教科書掲載表!I82</f>
        <v>6</v>
      </c>
      <c r="Z100">
        <f>教科書掲載表!J82</f>
        <v>6.8</v>
      </c>
      <c r="AA100">
        <f>教科書掲載表!K82</f>
        <v>10</v>
      </c>
      <c r="AB100">
        <f>教科書掲載表!L82</f>
        <v>18</v>
      </c>
      <c r="AE100">
        <f>AF100-$AE$98</f>
        <v>-128</v>
      </c>
      <c r="AF100">
        <f>教科書掲載表!V14</f>
        <v>250</v>
      </c>
      <c r="AG100">
        <f>HLOOKUP(AF100,教科書掲載表!$V$14:$AA$19,$AG$96)</f>
        <v>50</v>
      </c>
      <c r="AH100">
        <f>HLOOKUP(AF100,教科書掲載表!$V$14:$AA$19,$AH$96)</f>
        <v>50</v>
      </c>
      <c r="AI100">
        <f>HLOOKUP(AF100,教科書掲載表!$V$14:$AA$19,$AI$96)</f>
        <v>2</v>
      </c>
      <c r="AJ100">
        <f>HLOOKUP(AF100,教科書掲載表!$V$14:$AA$19,$AJ$96)</f>
        <v>50</v>
      </c>
      <c r="AK100">
        <f>HLOOKUP(AF100,教科書掲載表!$V$14:$AA$19,$AK$96)</f>
        <v>5</v>
      </c>
      <c r="AR100">
        <f t="shared" si="34"/>
        <v>70</v>
      </c>
      <c r="AS100">
        <f>教科書付表!S49</f>
        <v>90</v>
      </c>
      <c r="AT100">
        <f>教科書付表!U49</f>
        <v>96</v>
      </c>
    </row>
    <row r="101" spans="1:46" x14ac:dyDescent="0.4">
      <c r="A101">
        <f t="shared" si="38"/>
        <v>107.5</v>
      </c>
      <c r="B101">
        <f t="shared" si="37"/>
        <v>125</v>
      </c>
      <c r="K101">
        <f t="shared" si="50"/>
        <v>13.5</v>
      </c>
      <c r="L101">
        <f>IF($L$84=10,教科書掲載表!F57,IF($L$84=12,教科書掲載表!G57,IF($L$84=16,教科書掲載表!H57,IF($L$84=20,教科書掲載表!I57,IF($L$84=24,教科書掲載表!J57,IF($L$84=30,教科書掲載表!K57,教科書掲載表!L57))))))</f>
        <v>40</v>
      </c>
      <c r="P101">
        <f t="shared" ref="P101:P107" si="63">Q101-$P$98</f>
        <v>-15</v>
      </c>
      <c r="Q101">
        <f>教科書掲載表!A83</f>
        <v>40</v>
      </c>
      <c r="R101">
        <f>教科書掲載表!B83</f>
        <v>29</v>
      </c>
      <c r="S101">
        <f>教科書掲載表!C83</f>
        <v>28</v>
      </c>
      <c r="T101">
        <f>教科書掲載表!D83</f>
        <v>68</v>
      </c>
      <c r="U101">
        <f>教科書掲載表!E83</f>
        <v>40</v>
      </c>
      <c r="V101">
        <f>教科書掲載表!F83</f>
        <v>10.5</v>
      </c>
      <c r="W101">
        <f>教科書掲載表!G83</f>
        <v>8</v>
      </c>
      <c r="X101">
        <f>教科書掲載表!H83</f>
        <v>12</v>
      </c>
      <c r="Y101">
        <f>教科書掲載表!I83</f>
        <v>6</v>
      </c>
      <c r="Z101">
        <f>教科書掲載表!J83</f>
        <v>6.8</v>
      </c>
      <c r="AA101">
        <f>教科書掲載表!K83</f>
        <v>10</v>
      </c>
      <c r="AB101">
        <f>教科書掲載表!L83</f>
        <v>18</v>
      </c>
      <c r="AE101">
        <f t="shared" ref="AE101:AE105" si="64">AF101-$AE$98</f>
        <v>-78</v>
      </c>
      <c r="AF101">
        <f>教科書掲載表!W14</f>
        <v>300</v>
      </c>
      <c r="AG101">
        <f>HLOOKUP(AF101,教科書掲載表!$V$14:$AA$19,$AG$96)</f>
        <v>60</v>
      </c>
      <c r="AH101">
        <f>HLOOKUP(AF101,教科書掲載表!$V$14:$AA$19,$AH$96)</f>
        <v>60</v>
      </c>
      <c r="AI101">
        <f>HLOOKUP(AF101,教科書掲載表!$V$14:$AA$19,$AI$96)</f>
        <v>3</v>
      </c>
      <c r="AJ101">
        <f>HLOOKUP(AF101,教科書掲載表!$V$14:$AA$19,$AJ$96)</f>
        <v>60</v>
      </c>
      <c r="AK101">
        <f>HLOOKUP(AF101,教科書掲載表!$V$14:$AA$19,$AK$96)</f>
        <v>6.5</v>
      </c>
      <c r="AR101">
        <f t="shared" si="34"/>
        <v>75</v>
      </c>
      <c r="AS101">
        <f>教科書付表!S50</f>
        <v>95</v>
      </c>
      <c r="AT101">
        <f>教科書付表!U50</f>
        <v>101</v>
      </c>
    </row>
    <row r="102" spans="1:46" x14ac:dyDescent="0.4">
      <c r="A102">
        <f t="shared" si="38"/>
        <v>142.5</v>
      </c>
      <c r="B102">
        <f t="shared" ref="B102:B130" si="65">B37</f>
        <v>160</v>
      </c>
      <c r="K102">
        <f t="shared" si="50"/>
        <v>15.5</v>
      </c>
      <c r="L102">
        <f>IF($L$84=10,教科書掲載表!F58,IF($L$84=12,教科書掲載表!G58,IF($L$84=16,教科書掲載表!H58,IF($L$84=20,教科書掲載表!I58,IF($L$84=24,教科書掲載表!J58,IF($L$84=30,教科書掲載表!K58,教科書掲載表!L58))))))</f>
        <v>42</v>
      </c>
      <c r="P102">
        <f t="shared" si="63"/>
        <v>-10</v>
      </c>
      <c r="Q102">
        <f>教科書掲載表!A84</f>
        <v>45</v>
      </c>
      <c r="R102">
        <f>教科書掲載表!B84</f>
        <v>34.5</v>
      </c>
      <c r="S102">
        <f>教科書掲載表!C84</f>
        <v>38</v>
      </c>
      <c r="T102">
        <f>教科書掲載表!D84</f>
        <v>88</v>
      </c>
      <c r="U102">
        <f>教科書掲載表!E84</f>
        <v>50</v>
      </c>
      <c r="V102">
        <f>教科書掲載表!F84</f>
        <v>13</v>
      </c>
      <c r="W102">
        <f>教科書掲載表!G84</f>
        <v>8</v>
      </c>
      <c r="X102">
        <f>教科書掲載表!H84</f>
        <v>12</v>
      </c>
      <c r="Y102">
        <f>教科書掲載表!I84</f>
        <v>8</v>
      </c>
      <c r="Z102">
        <f>教科書掲載表!J84</f>
        <v>6.8</v>
      </c>
      <c r="AA102">
        <f>教科書掲載表!K84</f>
        <v>12</v>
      </c>
      <c r="AB102">
        <f>教科書掲載表!L84</f>
        <v>22</v>
      </c>
      <c r="AE102">
        <f t="shared" si="64"/>
        <v>-28</v>
      </c>
      <c r="AF102">
        <f>教科書掲載表!X14</f>
        <v>350</v>
      </c>
      <c r="AG102">
        <f>HLOOKUP(AF102,教科書掲載表!$V$14:$AA$19,$AG$96)</f>
        <v>70</v>
      </c>
      <c r="AH102">
        <f>HLOOKUP(AF102,教科書掲載表!$V$14:$AA$19,$AH$96)</f>
        <v>70</v>
      </c>
      <c r="AI102">
        <f>HLOOKUP(AF102,教科書掲載表!$V$14:$AA$19,$AI$96)</f>
        <v>3</v>
      </c>
      <c r="AJ102">
        <f>HLOOKUP(AF102,教科書掲載表!$V$14:$AA$19,$AJ$96)</f>
        <v>70</v>
      </c>
      <c r="AK102">
        <f>HLOOKUP(AF102,教科書掲載表!$V$14:$AA$19,$AK$96)</f>
        <v>8</v>
      </c>
      <c r="AR102">
        <f t="shared" si="34"/>
        <v>80</v>
      </c>
      <c r="AS102">
        <f>教科書付表!S51</f>
        <v>100</v>
      </c>
      <c r="AT102">
        <f>教科書付表!U51</f>
        <v>107</v>
      </c>
    </row>
    <row r="103" spans="1:46" x14ac:dyDescent="0.4">
      <c r="A103">
        <f t="shared" si="38"/>
        <v>182.5</v>
      </c>
      <c r="B103">
        <f t="shared" si="65"/>
        <v>200</v>
      </c>
      <c r="K103">
        <f t="shared" si="50"/>
        <v>18.5</v>
      </c>
      <c r="L103">
        <f>IF($L$84=10,教科書掲載表!F59,IF($L$84=12,教科書掲載表!G59,IF($L$84=16,教科書掲載表!H59,IF($L$84=20,教科書掲載表!I59,IF($L$84=24,教科書掲載表!J59,IF($L$84=30,教科書掲載表!K59,教科書掲載表!L59))))))</f>
        <v>45</v>
      </c>
      <c r="P103">
        <f t="shared" si="63"/>
        <v>-5</v>
      </c>
      <c r="Q103">
        <f>教科書掲載表!A85</f>
        <v>50</v>
      </c>
      <c r="R103">
        <f>教科書掲載表!B85</f>
        <v>37</v>
      </c>
      <c r="S103">
        <f>教科書掲載表!C85</f>
        <v>38</v>
      </c>
      <c r="T103">
        <f>教科書掲載表!D85</f>
        <v>88</v>
      </c>
      <c r="U103">
        <f>教科書掲載表!E85</f>
        <v>50</v>
      </c>
      <c r="V103">
        <f>教科書掲載表!F85</f>
        <v>13</v>
      </c>
      <c r="W103">
        <f>教科書掲載表!G85</f>
        <v>8</v>
      </c>
      <c r="X103">
        <f>教科書掲載表!H85</f>
        <v>12</v>
      </c>
      <c r="Y103">
        <f>教科書掲載表!I85</f>
        <v>8</v>
      </c>
      <c r="Z103">
        <f>教科書掲載表!J85</f>
        <v>6.8</v>
      </c>
      <c r="AA103">
        <f>教科書掲載表!K85</f>
        <v>12</v>
      </c>
      <c r="AB103">
        <f>教科書掲載表!L85</f>
        <v>22</v>
      </c>
      <c r="AE103">
        <f t="shared" si="64"/>
        <v>22</v>
      </c>
      <c r="AF103">
        <f>教科書掲載表!Y14</f>
        <v>400</v>
      </c>
      <c r="AG103">
        <f>HLOOKUP(AF103,教科書掲載表!$V$14:$AA$19,$AG$96)</f>
        <v>80</v>
      </c>
      <c r="AH103">
        <f>HLOOKUP(AF103,教科書掲載表!$V$14:$AA$19,$AH$96)</f>
        <v>80</v>
      </c>
      <c r="AI103">
        <f>HLOOKUP(AF103,教科書掲載表!$V$14:$AA$19,$AI$96)</f>
        <v>4</v>
      </c>
      <c r="AJ103">
        <f>HLOOKUP(AF103,教科書掲載表!$V$14:$AA$19,$AJ$96)</f>
        <v>80</v>
      </c>
      <c r="AK103">
        <f>HLOOKUP(AF103,教科書掲載表!$V$14:$AA$19,$AK$96)</f>
        <v>8</v>
      </c>
      <c r="AR103">
        <f t="shared" si="34"/>
        <v>85</v>
      </c>
      <c r="AS103">
        <f>教科書付表!S52</f>
        <v>105</v>
      </c>
      <c r="AT103">
        <f>教科書付表!U52</f>
        <v>112</v>
      </c>
    </row>
    <row r="104" spans="1:46" x14ac:dyDescent="0.4">
      <c r="A104">
        <f t="shared" si="38"/>
        <v>232.5</v>
      </c>
      <c r="B104">
        <f t="shared" si="65"/>
        <v>250</v>
      </c>
      <c r="H104" t="s">
        <v>59</v>
      </c>
      <c r="K104">
        <f t="shared" si="50"/>
        <v>21.5</v>
      </c>
      <c r="L104">
        <f>IF($L$84=10,教科書掲載表!F60,IF($L$84=12,教科書掲載表!G60,IF($L$84=16,教科書掲載表!H60,IF($L$84=20,教科書掲載表!I60,IF($L$84=24,教科書掲載表!J60,IF($L$84=30,教科書掲載表!K60,教科書掲載表!L60))))))</f>
        <v>48</v>
      </c>
      <c r="P104">
        <f t="shared" si="63"/>
        <v>0</v>
      </c>
      <c r="Q104">
        <f>教科書掲載表!A86</f>
        <v>55</v>
      </c>
      <c r="R104">
        <f>教科書掲載表!B86</f>
        <v>37.5</v>
      </c>
      <c r="S104">
        <f>教科書掲載表!C86</f>
        <v>38</v>
      </c>
      <c r="T104">
        <f>教科書掲載表!D86</f>
        <v>98</v>
      </c>
      <c r="U104">
        <f>教科書掲載表!E86</f>
        <v>60</v>
      </c>
      <c r="V104">
        <f>教科書掲載表!F86</f>
        <v>17</v>
      </c>
      <c r="W104">
        <f>教科書掲載表!G86</f>
        <v>10</v>
      </c>
      <c r="X104">
        <f>教科書掲載表!H86</f>
        <v>12</v>
      </c>
      <c r="Y104">
        <f>教科書掲載表!I86</f>
        <v>10</v>
      </c>
      <c r="Z104">
        <f>教科書掲載表!J86</f>
        <v>8.8000000000000007</v>
      </c>
      <c r="AA104">
        <f>教科書掲載表!K86</f>
        <v>16</v>
      </c>
      <c r="AB104">
        <f>教科書掲載表!L86</f>
        <v>28</v>
      </c>
      <c r="AE104">
        <f t="shared" si="64"/>
        <v>72</v>
      </c>
      <c r="AF104">
        <f>教科書掲載表!Z14</f>
        <v>450</v>
      </c>
      <c r="AG104">
        <f>HLOOKUP(AF104,教科書掲載表!$V$14:$AA$19,$AG$96)</f>
        <v>100</v>
      </c>
      <c r="AH104">
        <f>HLOOKUP(AF104,教科書掲載表!$V$14:$AA$19,$AH$96)</f>
        <v>100</v>
      </c>
      <c r="AI104">
        <f>HLOOKUP(AF104,教科書掲載表!$V$14:$AA$19,$AI$96)</f>
        <v>4</v>
      </c>
      <c r="AJ104">
        <f>HLOOKUP(AF104,教科書掲載表!$V$14:$AA$19,$AJ$96)</f>
        <v>100</v>
      </c>
      <c r="AK104">
        <f>HLOOKUP(AF104,教科書掲載表!$V$14:$AA$19,$AK$96)</f>
        <v>10</v>
      </c>
      <c r="AR104">
        <f t="shared" si="34"/>
        <v>90</v>
      </c>
      <c r="AS104">
        <f>教科書付表!S53</f>
        <v>110</v>
      </c>
      <c r="AT104">
        <f>教科書付表!U53</f>
        <v>117</v>
      </c>
    </row>
    <row r="105" spans="1:46" x14ac:dyDescent="0.4">
      <c r="A105">
        <f t="shared" si="38"/>
        <v>297.5</v>
      </c>
      <c r="B105">
        <f t="shared" si="65"/>
        <v>315</v>
      </c>
      <c r="F105" t="s">
        <v>814</v>
      </c>
      <c r="G105" t="str">
        <f>M83</f>
        <v>正の最小値</v>
      </c>
      <c r="H105" t="str">
        <f>G107</f>
        <v>S0</v>
      </c>
      <c r="I105" t="str">
        <f>H107</f>
        <v>e</v>
      </c>
      <c r="J105" t="str">
        <f>I107</f>
        <v>l</v>
      </c>
      <c r="K105">
        <f t="shared" si="50"/>
        <v>23.5</v>
      </c>
      <c r="L105">
        <f>IF($L$84=10,教科書掲載表!F61,IF($L$84=12,教科書掲載表!G61,IF($L$84=16,教科書掲載表!H61,IF($L$84=20,教科書掲載表!I61,IF($L$84=24,教科書掲載表!J61,IF($L$84=30,教科書掲載表!K61,教科書掲載表!L61))))))</f>
        <v>50</v>
      </c>
      <c r="P105">
        <f t="shared" si="63"/>
        <v>5</v>
      </c>
      <c r="Q105">
        <f>教科書掲載表!A87</f>
        <v>60</v>
      </c>
      <c r="R105">
        <f>教科書掲載表!B87</f>
        <v>40</v>
      </c>
      <c r="S105">
        <f>教科書掲載表!C87</f>
        <v>38</v>
      </c>
      <c r="T105">
        <f>教科書掲載表!D87</f>
        <v>98</v>
      </c>
      <c r="U105">
        <f>教科書掲載表!E87</f>
        <v>60</v>
      </c>
      <c r="V105">
        <f>教科書掲載表!F87</f>
        <v>17</v>
      </c>
      <c r="W105">
        <f>教科書掲載表!G87</f>
        <v>10</v>
      </c>
      <c r="X105">
        <f>教科書掲載表!H87</f>
        <v>12</v>
      </c>
      <c r="Y105">
        <f>教科書掲載表!I87</f>
        <v>10</v>
      </c>
      <c r="Z105">
        <f>教科書掲載表!J87</f>
        <v>8.8000000000000007</v>
      </c>
      <c r="AA105">
        <f>教科書掲載表!K87</f>
        <v>16</v>
      </c>
      <c r="AB105">
        <f>教科書掲載表!L87</f>
        <v>28</v>
      </c>
      <c r="AE105">
        <f t="shared" si="64"/>
        <v>122</v>
      </c>
      <c r="AF105">
        <f>教科書掲載表!AA14</f>
        <v>500</v>
      </c>
      <c r="AG105">
        <f>HLOOKUP(AF105,教科書掲載表!$V$14:$AA$19,$AG$96)</f>
        <v>120</v>
      </c>
      <c r="AH105">
        <f>HLOOKUP(AF105,教科書掲載表!$V$14:$AA$19,$AH$96)</f>
        <v>120</v>
      </c>
      <c r="AI105">
        <f>HLOOKUP(AF105,教科書掲載表!$V$14:$AA$19,$AI$96)</f>
        <v>5</v>
      </c>
      <c r="AJ105">
        <f>HLOOKUP(AF105,教科書掲載表!$V$14:$AA$19,$AJ$96)</f>
        <v>120</v>
      </c>
      <c r="AK105">
        <f>HLOOKUP(AF105,教科書掲載表!$V$14:$AA$19,$AK$96)</f>
        <v>10</v>
      </c>
      <c r="AR105">
        <f t="shared" si="34"/>
        <v>95</v>
      </c>
      <c r="AS105">
        <f>教科書付表!S54</f>
        <v>115</v>
      </c>
      <c r="AT105">
        <f>教科書付表!U54</f>
        <v>122</v>
      </c>
    </row>
    <row r="106" spans="1:46" x14ac:dyDescent="0.4">
      <c r="A106">
        <f t="shared" si="38"/>
        <v>382.5</v>
      </c>
      <c r="B106">
        <f t="shared" si="65"/>
        <v>400</v>
      </c>
      <c r="F106">
        <f>'第Ⅰ軸,第Ⅱ軸'!D2</f>
        <v>19.39</v>
      </c>
      <c r="G106">
        <f>SMALL(F108:F114,COUNTIF(F108:F114,"&lt;=0")+1)</f>
        <v>2.6099999999999994</v>
      </c>
      <c r="H106">
        <f>VLOOKUP(G106,F108:G114,2)</f>
        <v>22</v>
      </c>
      <c r="I106">
        <f>VLOOKUP(G106,F108:H114,3)</f>
        <v>29.5</v>
      </c>
      <c r="J106">
        <f>VLOOKUP(G106,F108:I114,4)</f>
        <v>30</v>
      </c>
      <c r="P106">
        <f t="shared" si="63"/>
        <v>10</v>
      </c>
      <c r="Q106">
        <f>教科書掲載表!A88</f>
        <v>65</v>
      </c>
      <c r="R106">
        <f>教科書掲載表!B88</f>
        <v>40.5</v>
      </c>
      <c r="S106">
        <f>教科書掲載表!C88</f>
        <v>38</v>
      </c>
      <c r="T106">
        <f>教科書掲載表!D88</f>
        <v>115</v>
      </c>
      <c r="U106">
        <f>教科書掲載表!E88</f>
        <v>80</v>
      </c>
      <c r="V106">
        <f>教科書掲載表!F88</f>
        <v>17</v>
      </c>
      <c r="W106">
        <f>教科書掲載表!G88</f>
        <v>12</v>
      </c>
      <c r="X106">
        <f>教科書掲載表!H88</f>
        <v>15</v>
      </c>
      <c r="Y106">
        <f>教科書掲載表!I88</f>
        <v>12</v>
      </c>
      <c r="Z106">
        <f>教科書掲載表!J88</f>
        <v>11.2</v>
      </c>
      <c r="AA106">
        <f>教科書掲載表!K88</f>
        <v>16</v>
      </c>
      <c r="AB106">
        <f>教科書掲載表!L88</f>
        <v>28</v>
      </c>
      <c r="AR106">
        <f t="shared" si="34"/>
        <v>100</v>
      </c>
      <c r="AS106">
        <f>教科書付表!S55</f>
        <v>120</v>
      </c>
      <c r="AT106">
        <f>教科書付表!U55</f>
        <v>127</v>
      </c>
    </row>
    <row r="107" spans="1:46" x14ac:dyDescent="0.4">
      <c r="A107">
        <f t="shared" si="38"/>
        <v>482.5</v>
      </c>
      <c r="B107">
        <f t="shared" si="65"/>
        <v>500</v>
      </c>
      <c r="F107" t="s">
        <v>786</v>
      </c>
      <c r="G107" t="str">
        <f>教科書掲載表!T22</f>
        <v>S0</v>
      </c>
      <c r="H107" t="str">
        <f>教科書掲載表!T23</f>
        <v>e</v>
      </c>
      <c r="I107" t="s">
        <v>22</v>
      </c>
      <c r="P107">
        <f t="shared" si="63"/>
        <v>15</v>
      </c>
      <c r="Q107">
        <f>教科書掲載表!A89</f>
        <v>70</v>
      </c>
      <c r="R107">
        <f>教科書掲載表!B89</f>
        <v>43</v>
      </c>
      <c r="S107">
        <f>教科書掲載表!C89</f>
        <v>38</v>
      </c>
      <c r="T107">
        <f>教科書掲載表!D89</f>
        <v>115</v>
      </c>
      <c r="U107">
        <f>教科書掲載表!E89</f>
        <v>80</v>
      </c>
      <c r="V107">
        <f>教科書掲載表!F89</f>
        <v>17</v>
      </c>
      <c r="W107">
        <f>教科書掲載表!G89</f>
        <v>12</v>
      </c>
      <c r="X107">
        <f>教科書掲載表!H89</f>
        <v>15</v>
      </c>
      <c r="Y107">
        <f>教科書掲載表!I89</f>
        <v>12</v>
      </c>
      <c r="Z107">
        <f>教科書掲載表!J89</f>
        <v>11.2</v>
      </c>
      <c r="AA107">
        <f>教科書掲載表!K89</f>
        <v>16</v>
      </c>
      <c r="AB107">
        <f>教科書掲載表!L89</f>
        <v>28</v>
      </c>
      <c r="AR107">
        <f t="shared" si="34"/>
        <v>105</v>
      </c>
      <c r="AS107">
        <f>教科書付表!S56</f>
        <v>125</v>
      </c>
      <c r="AT107">
        <f>教科書付表!U56</f>
        <v>132</v>
      </c>
    </row>
    <row r="108" spans="1:46" x14ac:dyDescent="0.4">
      <c r="A108">
        <f t="shared" si="38"/>
        <v>612.5</v>
      </c>
      <c r="B108">
        <f t="shared" si="65"/>
        <v>630</v>
      </c>
      <c r="F108">
        <f t="shared" ref="F108:F114" si="66">G108-$F$106</f>
        <v>-7.3900000000000006</v>
      </c>
      <c r="G108">
        <f>教科書掲載表!U22</f>
        <v>12</v>
      </c>
      <c r="H108">
        <f>教科書掲載表!U23</f>
        <v>16.5</v>
      </c>
      <c r="I108">
        <f>教科書掲載表!U24</f>
        <v>18</v>
      </c>
      <c r="AR108">
        <f t="shared" si="34"/>
        <v>110</v>
      </c>
      <c r="AS108">
        <f>教科書付表!S57</f>
        <v>130</v>
      </c>
      <c r="AT108">
        <f>教科書付表!U57</f>
        <v>137</v>
      </c>
    </row>
    <row r="109" spans="1:46" x14ac:dyDescent="0.4">
      <c r="A109">
        <f t="shared" si="38"/>
        <v>782.5</v>
      </c>
      <c r="B109">
        <f t="shared" si="65"/>
        <v>800</v>
      </c>
      <c r="F109">
        <f t="shared" si="66"/>
        <v>-5.3900000000000006</v>
      </c>
      <c r="G109">
        <f>教科書掲載表!V22</f>
        <v>14</v>
      </c>
      <c r="H109">
        <f>教科書掲載表!V23</f>
        <v>19.2</v>
      </c>
      <c r="I109">
        <f>教科書掲載表!V24</f>
        <v>20</v>
      </c>
      <c r="AR109">
        <f t="shared" si="34"/>
        <v>120</v>
      </c>
      <c r="AS109">
        <f>教科書付表!S58</f>
        <v>140</v>
      </c>
      <c r="AT109">
        <f>教科書付表!U58</f>
        <v>147</v>
      </c>
    </row>
    <row r="110" spans="1:46" x14ac:dyDescent="0.4">
      <c r="A110">
        <f t="shared" si="38"/>
        <v>982.5</v>
      </c>
      <c r="B110">
        <f t="shared" si="65"/>
        <v>1000</v>
      </c>
      <c r="F110">
        <f t="shared" si="66"/>
        <v>-2.3900000000000006</v>
      </c>
      <c r="G110">
        <f>教科書掲載表!W22</f>
        <v>17</v>
      </c>
      <c r="H110">
        <f>教科書掲載表!W23</f>
        <v>23</v>
      </c>
      <c r="I110">
        <f>教科書掲載表!W24</f>
        <v>22</v>
      </c>
      <c r="AR110">
        <f t="shared" si="34"/>
        <v>130</v>
      </c>
      <c r="AS110">
        <f>教科書付表!S59</f>
        <v>150</v>
      </c>
      <c r="AT110">
        <f>教科書付表!U59</f>
        <v>158</v>
      </c>
    </row>
    <row r="111" spans="1:46" x14ac:dyDescent="0.4">
      <c r="A111">
        <f t="shared" si="38"/>
        <v>1232.5</v>
      </c>
      <c r="B111">
        <f t="shared" si="65"/>
        <v>1250</v>
      </c>
      <c r="F111">
        <f t="shared" si="66"/>
        <v>-0.39000000000000057</v>
      </c>
      <c r="G111">
        <f>教科書掲載表!X22</f>
        <v>19</v>
      </c>
      <c r="H111">
        <f>教科書掲載表!X23</f>
        <v>26</v>
      </c>
      <c r="I111">
        <f>教科書掲載表!X24</f>
        <v>26</v>
      </c>
    </row>
    <row r="112" spans="1:46" x14ac:dyDescent="0.4">
      <c r="A112">
        <f t="shared" si="38"/>
        <v>1582.5</v>
      </c>
      <c r="B112">
        <f t="shared" si="65"/>
        <v>1600</v>
      </c>
      <c r="F112">
        <f t="shared" si="66"/>
        <v>2.6099999999999994</v>
      </c>
      <c r="G112">
        <f>教科書掲載表!Y22</f>
        <v>22</v>
      </c>
      <c r="H112">
        <f>教科書掲載表!Y23</f>
        <v>29.5</v>
      </c>
      <c r="I112">
        <f>教科書掲載表!Y24</f>
        <v>30</v>
      </c>
    </row>
    <row r="113" spans="1:32" x14ac:dyDescent="0.4">
      <c r="A113">
        <f t="shared" si="38"/>
        <v>1982.5</v>
      </c>
      <c r="B113">
        <f t="shared" si="65"/>
        <v>2000</v>
      </c>
      <c r="F113">
        <f t="shared" si="66"/>
        <v>7.6099999999999994</v>
      </c>
      <c r="G113">
        <f>教科書掲載表!Z22</f>
        <v>27</v>
      </c>
      <c r="H113">
        <f>教科書掲載表!Z23</f>
        <v>36.5</v>
      </c>
      <c r="I113">
        <f>教科書掲載表!Z24</f>
        <v>32</v>
      </c>
    </row>
    <row r="114" spans="1:32" x14ac:dyDescent="0.4">
      <c r="A114">
        <f t="shared" si="38"/>
        <v>2482.5</v>
      </c>
      <c r="B114">
        <f t="shared" si="65"/>
        <v>2500</v>
      </c>
      <c r="F114">
        <f t="shared" si="66"/>
        <v>10.61</v>
      </c>
      <c r="G114">
        <f>教科書掲載表!AA22</f>
        <v>30</v>
      </c>
      <c r="H114">
        <f>教科書掲載表!AA23</f>
        <v>40</v>
      </c>
      <c r="I114">
        <f>教科書掲載表!AA24</f>
        <v>36</v>
      </c>
    </row>
    <row r="115" spans="1:32" x14ac:dyDescent="0.4">
      <c r="A115">
        <f t="shared" si="38"/>
        <v>3132.5</v>
      </c>
      <c r="B115">
        <f t="shared" si="65"/>
        <v>3150</v>
      </c>
    </row>
    <row r="116" spans="1:32" x14ac:dyDescent="0.4">
      <c r="A116">
        <f t="shared" si="38"/>
        <v>3982.5</v>
      </c>
      <c r="B116">
        <f t="shared" si="65"/>
        <v>4000</v>
      </c>
      <c r="F116" t="s">
        <v>295</v>
      </c>
      <c r="G116" t="str">
        <f>G105</f>
        <v>正の最小値</v>
      </c>
      <c r="H116" t="s">
        <v>59</v>
      </c>
      <c r="J116" t="s">
        <v>387</v>
      </c>
      <c r="K116" t="s">
        <v>780</v>
      </c>
      <c r="L116" t="str">
        <f>H116</f>
        <v>決定値</v>
      </c>
      <c r="N116" t="s">
        <v>456</v>
      </c>
      <c r="O116" t="str">
        <f>K116</f>
        <v>正の最小値</v>
      </c>
      <c r="P116" t="str">
        <f>L116</f>
        <v>決定値</v>
      </c>
      <c r="R116" t="s">
        <v>395</v>
      </c>
      <c r="S116" t="s">
        <v>780</v>
      </c>
      <c r="T116" t="s">
        <v>237</v>
      </c>
      <c r="V116" t="s">
        <v>387</v>
      </c>
      <c r="W116" t="s">
        <v>780</v>
      </c>
      <c r="X116" t="s">
        <v>237</v>
      </c>
      <c r="Z116" t="s">
        <v>802</v>
      </c>
      <c r="AA116" t="str">
        <f>$G$52</f>
        <v>正の最小値</v>
      </c>
      <c r="AB116" t="s">
        <v>59</v>
      </c>
      <c r="AD116" t="s">
        <v>7</v>
      </c>
      <c r="AE116" t="str">
        <f>$G$52</f>
        <v>正の最小値</v>
      </c>
      <c r="AF116" t="s">
        <v>59</v>
      </c>
    </row>
    <row r="117" spans="1:32" x14ac:dyDescent="0.4">
      <c r="A117">
        <f t="shared" si="38"/>
        <v>4982.5</v>
      </c>
      <c r="B117">
        <f t="shared" si="65"/>
        <v>5000</v>
      </c>
      <c r="F117">
        <f>I106</f>
        <v>29.5</v>
      </c>
      <c r="G117">
        <f>SMALL(F119:F161,COUNTIF(F119:F161,"&lt;=0")+1)</f>
        <v>0.5</v>
      </c>
      <c r="H117">
        <f>VLOOKUP(G117,F119:G161,2,FALSE)</f>
        <v>30</v>
      </c>
      <c r="J117">
        <f>'第Ⅰ軸,第Ⅱ軸'!G2</f>
        <v>29.21</v>
      </c>
      <c r="K117">
        <f>SMALL(J119:J161,COUNTIF(J119:J161,"&lt;=0")+1)</f>
        <v>0.78999999999999915</v>
      </c>
      <c r="L117">
        <f>VLOOKUP(K117,J119:K161,2,FALSE)</f>
        <v>30</v>
      </c>
      <c r="N117">
        <f>第Ⅲ軸!M6</f>
        <v>53.42</v>
      </c>
      <c r="O117">
        <f>SMALL(N119:N161,COUNTIF(N119:N161,"&lt;=0")+1)</f>
        <v>1.5799999999999983</v>
      </c>
      <c r="P117">
        <f>VLOOKUP(O117,N119:O161,2,FALSE)</f>
        <v>55</v>
      </c>
      <c r="R117">
        <f>H117</f>
        <v>30</v>
      </c>
      <c r="S117">
        <f>IF(SMALL(R119:R134,COUNTIF(R119:R134,"&lt;=0"))=0,SMALL(R119:R134,COUNTIF(R119:R134,"&lt;=0")),SMALL(R119:R134,COUNTIF(R119:R134,"&lt;=0")+1))</f>
        <v>0</v>
      </c>
      <c r="T117">
        <f>VLOOKUP(S117,R119:T134,3,FALSE)</f>
        <v>2.4</v>
      </c>
      <c r="V117">
        <f>L117</f>
        <v>30</v>
      </c>
      <c r="W117">
        <f>IF(SMALL(V119:V134,COUNTIF(V119:V134,"&lt;=0"))=0,SMALL(V119:V134,COUNTIF(V119:V134,"&lt;=0")),SMALL(V119:V134,COUNTIF(V119:V134,"&lt;=0")+1))</f>
        <v>0</v>
      </c>
      <c r="X117">
        <f>VLOOKUP(W117,V119:X134,3,FALSE)</f>
        <v>2.4</v>
      </c>
      <c r="Z117">
        <f>'6章'!E6</f>
        <v>11</v>
      </c>
      <c r="AA117">
        <f>IF(SMALL(Z119:Z168,COUNTIF(Z119:Z168,"&lt;=0"))=0,SMALL(Z119:Z168,COUNTIF(Z119:Z168,"&lt;=0")),SMALL(Z119:Z168,COUNTIF(Z119:Z168,"&lt;=0")+1))</f>
        <v>0</v>
      </c>
      <c r="AB117">
        <f>VLOOKUP(AA117,Z119:AA168,2,FALSE)</f>
        <v>11</v>
      </c>
      <c r="AD117">
        <f>'4,5章'!Q10</f>
        <v>6.7</v>
      </c>
      <c r="AE117">
        <f>IF(SMALL(AD119:AD167,COUNTIF(AD119:AD167,"&lt;=0"))=0,SMALL(AD119:AD167,COUNTIF(AD119:AD167,"&lt;=0")),SMALL(AD119:AD167,COUNTIF(AD119:AD167,"&lt;=0")+1))</f>
        <v>1.2999999999999998</v>
      </c>
      <c r="AF117">
        <f>VLOOKUP(AE117,AD119:AE167,2,FALSE)</f>
        <v>8</v>
      </c>
    </row>
    <row r="118" spans="1:32" x14ac:dyDescent="0.4">
      <c r="A118">
        <f t="shared" si="38"/>
        <v>6282.5</v>
      </c>
      <c r="B118">
        <f t="shared" si="65"/>
        <v>6300</v>
      </c>
      <c r="F118" t="s">
        <v>786</v>
      </c>
      <c r="G118" t="str">
        <f>教科書掲載表!N34</f>
        <v>直径</v>
      </c>
      <c r="J118" t="str">
        <f>F118</f>
        <v>差</v>
      </c>
      <c r="K118" t="str">
        <f>G118</f>
        <v>直径</v>
      </c>
      <c r="N118" t="str">
        <f>J118</f>
        <v>差</v>
      </c>
      <c r="O118" t="str">
        <f>K118</f>
        <v>直径</v>
      </c>
      <c r="R118" t="s">
        <v>786</v>
      </c>
      <c r="S118" t="s">
        <v>17</v>
      </c>
      <c r="T118" t="s">
        <v>237</v>
      </c>
      <c r="V118" t="s">
        <v>786</v>
      </c>
      <c r="W118" t="s">
        <v>17</v>
      </c>
      <c r="X118" t="s">
        <v>237</v>
      </c>
      <c r="Z118" t="str">
        <f>F54</f>
        <v>差</v>
      </c>
      <c r="AA118" t="str">
        <f>教科書掲載表!A92</f>
        <v>モジュール</v>
      </c>
      <c r="AD118" t="str">
        <f>Z118</f>
        <v>差</v>
      </c>
      <c r="AE118" t="str">
        <f t="shared" ref="AE118:AE150" si="67">AA118</f>
        <v>モジュール</v>
      </c>
    </row>
    <row r="119" spans="1:32" x14ac:dyDescent="0.4">
      <c r="A119">
        <f t="shared" si="38"/>
        <v>7982.5</v>
      </c>
      <c r="B119">
        <f t="shared" si="65"/>
        <v>8000</v>
      </c>
      <c r="F119">
        <f>G119-$F$117</f>
        <v>-24.5</v>
      </c>
      <c r="G119">
        <f>教科書掲載表!N35</f>
        <v>5</v>
      </c>
      <c r="J119">
        <f>K119-$J$117</f>
        <v>-24.21</v>
      </c>
      <c r="K119">
        <f>G119</f>
        <v>5</v>
      </c>
      <c r="N119">
        <f>O119-$N$117</f>
        <v>-48.42</v>
      </c>
      <c r="O119">
        <f t="shared" ref="O119:O161" si="68">K119</f>
        <v>5</v>
      </c>
      <c r="R119">
        <f>S119-$R$117</f>
        <v>-22</v>
      </c>
      <c r="S119">
        <f>教科書掲載表!R35</f>
        <v>8</v>
      </c>
      <c r="T119">
        <f>教科書掲載表!T35</f>
        <v>0.5</v>
      </c>
      <c r="V119">
        <f>W119-$R$117</f>
        <v>-22</v>
      </c>
      <c r="W119">
        <f>S119</f>
        <v>8</v>
      </c>
      <c r="X119">
        <f t="shared" ref="X119:X134" si="69">T119</f>
        <v>0.5</v>
      </c>
      <c r="Z119">
        <f t="shared" ref="Z119:Z143" si="70">AA119-$Z$117</f>
        <v>-10.9</v>
      </c>
      <c r="AA119">
        <f>教科書掲載表!A93</f>
        <v>0.1</v>
      </c>
      <c r="AD119">
        <f>AE119-$AD$117</f>
        <v>-6.6000000000000005</v>
      </c>
      <c r="AE119">
        <f t="shared" si="67"/>
        <v>0.1</v>
      </c>
    </row>
    <row r="120" spans="1:32" x14ac:dyDescent="0.4">
      <c r="A120">
        <f t="shared" si="38"/>
        <v>9982.5</v>
      </c>
      <c r="B120">
        <f t="shared" si="65"/>
        <v>10000</v>
      </c>
      <c r="F120">
        <f t="shared" ref="F120:F161" si="71">G120-$F$117</f>
        <v>-23.5</v>
      </c>
      <c r="G120">
        <f>教科書掲載表!N36</f>
        <v>6</v>
      </c>
      <c r="J120">
        <f t="shared" ref="J120:J161" si="72">K120-$J$117</f>
        <v>-23.21</v>
      </c>
      <c r="K120">
        <f t="shared" ref="K120:K161" si="73">G120</f>
        <v>6</v>
      </c>
      <c r="N120">
        <f t="shared" ref="N120:N161" si="74">O120-$N$117</f>
        <v>-47.42</v>
      </c>
      <c r="O120">
        <f t="shared" si="68"/>
        <v>6</v>
      </c>
      <c r="R120">
        <f t="shared" ref="R120:R134" si="75">S120-$R$117</f>
        <v>-20</v>
      </c>
      <c r="S120">
        <f>教科書掲載表!R36</f>
        <v>10</v>
      </c>
      <c r="T120">
        <f>教科書掲載表!T36</f>
        <v>0.9</v>
      </c>
      <c r="V120">
        <f t="shared" ref="V120:V134" si="76">W120-$R$117</f>
        <v>-20</v>
      </c>
      <c r="W120">
        <f t="shared" ref="W120:W134" si="77">S120</f>
        <v>10</v>
      </c>
      <c r="X120">
        <f t="shared" si="69"/>
        <v>0.9</v>
      </c>
      <c r="Z120">
        <f t="shared" si="70"/>
        <v>-10.85</v>
      </c>
      <c r="AA120">
        <f>教科書掲載表!A94</f>
        <v>0.15</v>
      </c>
      <c r="AD120">
        <f t="shared" ref="AD120:AD167" si="78">AE120-$AD$117</f>
        <v>-6.55</v>
      </c>
      <c r="AE120">
        <f t="shared" si="67"/>
        <v>0.15</v>
      </c>
    </row>
    <row r="121" spans="1:32" x14ac:dyDescent="0.4">
      <c r="A121">
        <f t="shared" si="38"/>
        <v>12482.5</v>
      </c>
      <c r="B121">
        <f t="shared" si="65"/>
        <v>12500</v>
      </c>
      <c r="F121">
        <f t="shared" si="71"/>
        <v>-22.5</v>
      </c>
      <c r="G121">
        <f>教科書掲載表!N37</f>
        <v>7</v>
      </c>
      <c r="J121">
        <f t="shared" si="72"/>
        <v>-22.21</v>
      </c>
      <c r="K121">
        <f t="shared" si="73"/>
        <v>7</v>
      </c>
      <c r="N121">
        <f t="shared" si="74"/>
        <v>-46.42</v>
      </c>
      <c r="O121">
        <f t="shared" si="68"/>
        <v>7</v>
      </c>
      <c r="R121">
        <f t="shared" si="75"/>
        <v>-18</v>
      </c>
      <c r="S121">
        <f>教科書掲載表!R37</f>
        <v>12</v>
      </c>
      <c r="T121">
        <f>教科書掲載表!T37</f>
        <v>1.2</v>
      </c>
      <c r="V121">
        <f t="shared" si="76"/>
        <v>-18</v>
      </c>
      <c r="W121">
        <f t="shared" si="77"/>
        <v>12</v>
      </c>
      <c r="X121">
        <f t="shared" si="69"/>
        <v>1.2</v>
      </c>
      <c r="Z121">
        <f t="shared" si="70"/>
        <v>-10.8</v>
      </c>
      <c r="AA121">
        <f>教科書掲載表!A95</f>
        <v>0.2</v>
      </c>
      <c r="AD121">
        <f t="shared" si="78"/>
        <v>-6.5</v>
      </c>
      <c r="AE121">
        <f t="shared" si="67"/>
        <v>0.2</v>
      </c>
    </row>
    <row r="122" spans="1:32" x14ac:dyDescent="0.4">
      <c r="A122">
        <f t="shared" si="38"/>
        <v>15982.5</v>
      </c>
      <c r="B122">
        <f t="shared" si="65"/>
        <v>16000</v>
      </c>
      <c r="F122">
        <f t="shared" si="71"/>
        <v>-21.5</v>
      </c>
      <c r="G122">
        <f>教科書掲載表!N38</f>
        <v>8</v>
      </c>
      <c r="J122">
        <f t="shared" si="72"/>
        <v>-21.21</v>
      </c>
      <c r="K122">
        <f t="shared" si="73"/>
        <v>8</v>
      </c>
      <c r="N122">
        <f t="shared" si="74"/>
        <v>-45.42</v>
      </c>
      <c r="O122">
        <f t="shared" si="68"/>
        <v>8</v>
      </c>
      <c r="R122">
        <f t="shared" si="75"/>
        <v>-13</v>
      </c>
      <c r="S122">
        <f>教科書掲載表!R38</f>
        <v>17</v>
      </c>
      <c r="T122">
        <f>教科書掲載表!T38</f>
        <v>1.7</v>
      </c>
      <c r="V122">
        <f t="shared" si="76"/>
        <v>-13</v>
      </c>
      <c r="W122">
        <f t="shared" si="77"/>
        <v>17</v>
      </c>
      <c r="X122">
        <f t="shared" si="69"/>
        <v>1.7</v>
      </c>
      <c r="Z122">
        <f t="shared" si="70"/>
        <v>-10.75</v>
      </c>
      <c r="AA122">
        <f>教科書掲載表!A96</f>
        <v>0.25</v>
      </c>
      <c r="AD122">
        <f t="shared" si="78"/>
        <v>-6.45</v>
      </c>
      <c r="AE122">
        <f t="shared" si="67"/>
        <v>0.25</v>
      </c>
    </row>
    <row r="123" spans="1:32" x14ac:dyDescent="0.4">
      <c r="A123">
        <f t="shared" si="38"/>
        <v>19982.5</v>
      </c>
      <c r="B123">
        <f t="shared" si="65"/>
        <v>20000</v>
      </c>
      <c r="F123">
        <f t="shared" si="71"/>
        <v>-20.5</v>
      </c>
      <c r="G123">
        <f>教科書掲載表!N39</f>
        <v>9</v>
      </c>
      <c r="J123">
        <f t="shared" si="72"/>
        <v>-20.21</v>
      </c>
      <c r="K123">
        <f t="shared" si="73"/>
        <v>9</v>
      </c>
      <c r="N123">
        <f t="shared" si="74"/>
        <v>-44.42</v>
      </c>
      <c r="O123">
        <f t="shared" si="68"/>
        <v>9</v>
      </c>
      <c r="R123">
        <f t="shared" si="75"/>
        <v>-8</v>
      </c>
      <c r="S123">
        <f>教科書掲載表!R39</f>
        <v>22</v>
      </c>
      <c r="T123">
        <f>教科書掲載表!T39</f>
        <v>2.2000000000000002</v>
      </c>
      <c r="V123">
        <f t="shared" si="76"/>
        <v>-8</v>
      </c>
      <c r="W123">
        <f t="shared" si="77"/>
        <v>22</v>
      </c>
      <c r="X123">
        <f t="shared" si="69"/>
        <v>2.2000000000000002</v>
      </c>
      <c r="Z123">
        <f t="shared" si="70"/>
        <v>-10.7</v>
      </c>
      <c r="AA123">
        <f>教科書掲載表!A97</f>
        <v>0.3</v>
      </c>
      <c r="AD123">
        <f t="shared" si="78"/>
        <v>-6.4</v>
      </c>
      <c r="AE123">
        <f t="shared" si="67"/>
        <v>0.3</v>
      </c>
    </row>
    <row r="124" spans="1:32" x14ac:dyDescent="0.4">
      <c r="A124">
        <f t="shared" si="38"/>
        <v>24982.5</v>
      </c>
      <c r="B124">
        <f t="shared" si="65"/>
        <v>25000</v>
      </c>
      <c r="F124">
        <f t="shared" si="71"/>
        <v>-19.5</v>
      </c>
      <c r="G124">
        <f>教科書掲載表!N40</f>
        <v>10</v>
      </c>
      <c r="J124">
        <f t="shared" si="72"/>
        <v>-19.21</v>
      </c>
      <c r="K124">
        <f t="shared" si="73"/>
        <v>10</v>
      </c>
      <c r="N124">
        <f t="shared" si="74"/>
        <v>-43.42</v>
      </c>
      <c r="O124">
        <f t="shared" si="68"/>
        <v>10</v>
      </c>
      <c r="R124">
        <f t="shared" si="75"/>
        <v>0</v>
      </c>
      <c r="S124">
        <f>教科書掲載表!R40</f>
        <v>30</v>
      </c>
      <c r="T124">
        <f>教科書掲載表!T40</f>
        <v>2.4</v>
      </c>
      <c r="V124">
        <f t="shared" si="76"/>
        <v>0</v>
      </c>
      <c r="W124">
        <f t="shared" si="77"/>
        <v>30</v>
      </c>
      <c r="X124">
        <f t="shared" si="69"/>
        <v>2.4</v>
      </c>
      <c r="Z124">
        <f t="shared" si="70"/>
        <v>-10.65</v>
      </c>
      <c r="AA124">
        <f>教科書掲載表!A98</f>
        <v>0.35</v>
      </c>
      <c r="AD124">
        <f t="shared" si="78"/>
        <v>-6.3500000000000005</v>
      </c>
      <c r="AE124">
        <f t="shared" si="67"/>
        <v>0.35</v>
      </c>
    </row>
    <row r="125" spans="1:32" x14ac:dyDescent="0.4">
      <c r="A125">
        <f t="shared" si="38"/>
        <v>31482.5</v>
      </c>
      <c r="B125">
        <f t="shared" si="65"/>
        <v>31500</v>
      </c>
      <c r="F125">
        <f t="shared" si="71"/>
        <v>-18.5</v>
      </c>
      <c r="G125">
        <f>教科書掲載表!N41</f>
        <v>11</v>
      </c>
      <c r="J125">
        <f t="shared" si="72"/>
        <v>-18.21</v>
      </c>
      <c r="K125">
        <f t="shared" si="73"/>
        <v>11</v>
      </c>
      <c r="N125">
        <f t="shared" si="74"/>
        <v>-42.42</v>
      </c>
      <c r="O125">
        <f t="shared" si="68"/>
        <v>11</v>
      </c>
      <c r="R125">
        <f t="shared" si="75"/>
        <v>8</v>
      </c>
      <c r="S125">
        <f>教科書掲載表!R41</f>
        <v>38</v>
      </c>
      <c r="T125">
        <f>教科書掲載表!T41</f>
        <v>2.4</v>
      </c>
      <c r="V125">
        <f t="shared" si="76"/>
        <v>8</v>
      </c>
      <c r="W125">
        <f t="shared" si="77"/>
        <v>38</v>
      </c>
      <c r="X125">
        <f t="shared" si="69"/>
        <v>2.4</v>
      </c>
      <c r="Z125">
        <f t="shared" si="70"/>
        <v>-10.6</v>
      </c>
      <c r="AA125">
        <f>教科書掲載表!A99</f>
        <v>0.4</v>
      </c>
      <c r="AD125">
        <f t="shared" si="78"/>
        <v>-6.3</v>
      </c>
      <c r="AE125">
        <f t="shared" si="67"/>
        <v>0.4</v>
      </c>
    </row>
    <row r="126" spans="1:32" x14ac:dyDescent="0.4">
      <c r="A126">
        <f t="shared" si="38"/>
        <v>39982.5</v>
      </c>
      <c r="B126">
        <f t="shared" si="65"/>
        <v>40000</v>
      </c>
      <c r="F126">
        <f t="shared" si="71"/>
        <v>-17.5</v>
      </c>
      <c r="G126">
        <f>教科書掲載表!N42</f>
        <v>12</v>
      </c>
      <c r="J126">
        <f t="shared" si="72"/>
        <v>-17.21</v>
      </c>
      <c r="K126">
        <f t="shared" si="73"/>
        <v>12</v>
      </c>
      <c r="N126">
        <f t="shared" si="74"/>
        <v>-41.42</v>
      </c>
      <c r="O126">
        <f t="shared" si="68"/>
        <v>12</v>
      </c>
      <c r="R126">
        <f t="shared" si="75"/>
        <v>14</v>
      </c>
      <c r="S126">
        <f>教科書掲載表!R42</f>
        <v>44</v>
      </c>
      <c r="T126">
        <f>教科書掲載表!T42</f>
        <v>2.4</v>
      </c>
      <c r="V126">
        <f t="shared" si="76"/>
        <v>14</v>
      </c>
      <c r="W126">
        <f t="shared" si="77"/>
        <v>44</v>
      </c>
      <c r="X126">
        <f t="shared" si="69"/>
        <v>2.4</v>
      </c>
      <c r="Z126">
        <f t="shared" si="70"/>
        <v>-10.55</v>
      </c>
      <c r="AA126">
        <f>教科書掲載表!A100</f>
        <v>0.45</v>
      </c>
      <c r="AD126">
        <f t="shared" si="78"/>
        <v>-6.25</v>
      </c>
      <c r="AE126">
        <f t="shared" si="67"/>
        <v>0.45</v>
      </c>
    </row>
    <row r="127" spans="1:32" x14ac:dyDescent="0.4">
      <c r="A127">
        <f t="shared" si="38"/>
        <v>49982.5</v>
      </c>
      <c r="B127">
        <f t="shared" si="65"/>
        <v>50000</v>
      </c>
      <c r="F127">
        <f t="shared" si="71"/>
        <v>-16.5</v>
      </c>
      <c r="G127">
        <f>教科書掲載表!N43</f>
        <v>13</v>
      </c>
      <c r="J127">
        <f t="shared" si="72"/>
        <v>-16.21</v>
      </c>
      <c r="K127">
        <f t="shared" si="73"/>
        <v>13</v>
      </c>
      <c r="N127">
        <f t="shared" si="74"/>
        <v>-40.42</v>
      </c>
      <c r="O127">
        <f t="shared" si="68"/>
        <v>13</v>
      </c>
      <c r="R127">
        <f t="shared" si="75"/>
        <v>20</v>
      </c>
      <c r="S127">
        <f>教科書掲載表!R43</f>
        <v>50</v>
      </c>
      <c r="T127">
        <f>教科書掲載表!T43</f>
        <v>2.9</v>
      </c>
      <c r="V127">
        <f t="shared" si="76"/>
        <v>20</v>
      </c>
      <c r="W127">
        <f t="shared" si="77"/>
        <v>50</v>
      </c>
      <c r="X127">
        <f t="shared" si="69"/>
        <v>2.9</v>
      </c>
      <c r="Z127">
        <f t="shared" si="70"/>
        <v>-10.5</v>
      </c>
      <c r="AA127">
        <f>教科書掲載表!A101</f>
        <v>0.5</v>
      </c>
      <c r="AD127">
        <f t="shared" si="78"/>
        <v>-6.2</v>
      </c>
      <c r="AE127">
        <f t="shared" si="67"/>
        <v>0.5</v>
      </c>
    </row>
    <row r="128" spans="1:32" x14ac:dyDescent="0.4">
      <c r="A128">
        <f t="shared" si="38"/>
        <v>62982.5</v>
      </c>
      <c r="B128">
        <f t="shared" si="65"/>
        <v>63000</v>
      </c>
      <c r="F128">
        <f t="shared" si="71"/>
        <v>-15.5</v>
      </c>
      <c r="G128">
        <f>教科書掲載表!N44</f>
        <v>14</v>
      </c>
      <c r="J128">
        <f t="shared" si="72"/>
        <v>-15.21</v>
      </c>
      <c r="K128">
        <f t="shared" si="73"/>
        <v>14</v>
      </c>
      <c r="N128">
        <f t="shared" si="74"/>
        <v>-39.42</v>
      </c>
      <c r="O128">
        <f t="shared" si="68"/>
        <v>14</v>
      </c>
      <c r="R128">
        <f t="shared" si="75"/>
        <v>28</v>
      </c>
      <c r="S128">
        <f>教科書掲載表!R44</f>
        <v>58</v>
      </c>
      <c r="T128">
        <f>教科書掲載表!T44</f>
        <v>3.4</v>
      </c>
      <c r="V128">
        <f t="shared" si="76"/>
        <v>28</v>
      </c>
      <c r="W128">
        <f t="shared" si="77"/>
        <v>58</v>
      </c>
      <c r="X128">
        <f t="shared" si="69"/>
        <v>3.4</v>
      </c>
      <c r="Z128">
        <f t="shared" si="70"/>
        <v>-10.45</v>
      </c>
      <c r="AA128">
        <f>教科書掲載表!A102</f>
        <v>0.55000000000000004</v>
      </c>
      <c r="AD128">
        <f t="shared" si="78"/>
        <v>-6.15</v>
      </c>
      <c r="AE128">
        <f t="shared" si="67"/>
        <v>0.55000000000000004</v>
      </c>
    </row>
    <row r="129" spans="1:31" x14ac:dyDescent="0.4">
      <c r="A129">
        <f t="shared" si="38"/>
        <v>79982.5</v>
      </c>
      <c r="B129">
        <f t="shared" si="65"/>
        <v>80000</v>
      </c>
      <c r="F129">
        <f t="shared" si="71"/>
        <v>-14.5</v>
      </c>
      <c r="G129">
        <f>教科書掲載表!N45</f>
        <v>15</v>
      </c>
      <c r="J129">
        <f t="shared" si="72"/>
        <v>-14.21</v>
      </c>
      <c r="K129">
        <f t="shared" si="73"/>
        <v>15</v>
      </c>
      <c r="N129">
        <f t="shared" si="74"/>
        <v>-38.42</v>
      </c>
      <c r="O129">
        <f t="shared" si="68"/>
        <v>15</v>
      </c>
      <c r="R129">
        <f t="shared" si="75"/>
        <v>35</v>
      </c>
      <c r="S129">
        <f>教科書掲載表!R45</f>
        <v>65</v>
      </c>
      <c r="T129">
        <f>教科書掲載表!T45</f>
        <v>3.4</v>
      </c>
      <c r="V129">
        <f t="shared" si="76"/>
        <v>35</v>
      </c>
      <c r="W129">
        <f t="shared" si="77"/>
        <v>65</v>
      </c>
      <c r="X129">
        <f t="shared" si="69"/>
        <v>3.4</v>
      </c>
      <c r="Z129">
        <f t="shared" si="70"/>
        <v>-10.4</v>
      </c>
      <c r="AA129">
        <f>教科書掲載表!A103</f>
        <v>0.6</v>
      </c>
      <c r="AD129">
        <f t="shared" si="78"/>
        <v>-6.1000000000000005</v>
      </c>
      <c r="AE129">
        <f t="shared" si="67"/>
        <v>0.6</v>
      </c>
    </row>
    <row r="130" spans="1:31" x14ac:dyDescent="0.4">
      <c r="A130">
        <f t="shared" si="38"/>
        <v>99982.5</v>
      </c>
      <c r="B130">
        <f t="shared" si="65"/>
        <v>100000</v>
      </c>
      <c r="F130">
        <f t="shared" si="71"/>
        <v>-13.5</v>
      </c>
      <c r="G130">
        <f>教科書掲載表!N46</f>
        <v>16</v>
      </c>
      <c r="J130">
        <f t="shared" si="72"/>
        <v>-13.21</v>
      </c>
      <c r="K130">
        <f t="shared" si="73"/>
        <v>16</v>
      </c>
      <c r="N130">
        <f t="shared" si="74"/>
        <v>-37.42</v>
      </c>
      <c r="O130">
        <f t="shared" si="68"/>
        <v>16</v>
      </c>
      <c r="R130">
        <f t="shared" si="75"/>
        <v>45</v>
      </c>
      <c r="S130">
        <f>教科書掲載表!R46</f>
        <v>75</v>
      </c>
      <c r="T130">
        <f>教科書掲載表!T46</f>
        <v>3.9</v>
      </c>
      <c r="V130">
        <f t="shared" si="76"/>
        <v>45</v>
      </c>
      <c r="W130">
        <f t="shared" si="77"/>
        <v>75</v>
      </c>
      <c r="X130">
        <f t="shared" si="69"/>
        <v>3.9</v>
      </c>
      <c r="Z130">
        <f t="shared" si="70"/>
        <v>-10.3</v>
      </c>
      <c r="AA130">
        <f>教科書掲載表!A104</f>
        <v>0.7</v>
      </c>
      <c r="AD130">
        <f t="shared" si="78"/>
        <v>-6</v>
      </c>
      <c r="AE130">
        <f t="shared" si="67"/>
        <v>0.7</v>
      </c>
    </row>
    <row r="131" spans="1:31" x14ac:dyDescent="0.4">
      <c r="F131">
        <f t="shared" si="71"/>
        <v>-12.5</v>
      </c>
      <c r="G131">
        <f>教科書掲載表!N47</f>
        <v>17</v>
      </c>
      <c r="J131">
        <f t="shared" si="72"/>
        <v>-12.21</v>
      </c>
      <c r="K131">
        <f t="shared" si="73"/>
        <v>17</v>
      </c>
      <c r="N131">
        <f t="shared" si="74"/>
        <v>-36.42</v>
      </c>
      <c r="O131">
        <f t="shared" si="68"/>
        <v>17</v>
      </c>
      <c r="R131">
        <f t="shared" si="75"/>
        <v>55</v>
      </c>
      <c r="S131">
        <f>教科書掲載表!R47</f>
        <v>85</v>
      </c>
      <c r="T131">
        <f>教科書掲載表!T47</f>
        <v>4.4000000000000004</v>
      </c>
      <c r="V131">
        <f t="shared" si="76"/>
        <v>55</v>
      </c>
      <c r="W131">
        <f t="shared" si="77"/>
        <v>85</v>
      </c>
      <c r="X131">
        <f t="shared" si="69"/>
        <v>4.4000000000000004</v>
      </c>
      <c r="Z131">
        <f t="shared" si="70"/>
        <v>-10.25</v>
      </c>
      <c r="AA131">
        <f>教科書掲載表!A105</f>
        <v>0.75</v>
      </c>
      <c r="AD131">
        <f t="shared" si="78"/>
        <v>-5.95</v>
      </c>
      <c r="AE131">
        <f t="shared" si="67"/>
        <v>0.75</v>
      </c>
    </row>
    <row r="132" spans="1:31" x14ac:dyDescent="0.4">
      <c r="A132" t="s">
        <v>815</v>
      </c>
      <c r="B132" t="s">
        <v>780</v>
      </c>
      <c r="C132" t="s">
        <v>59</v>
      </c>
      <c r="F132">
        <f t="shared" si="71"/>
        <v>-11.5</v>
      </c>
      <c r="G132">
        <f>教科書掲載表!N48</f>
        <v>18</v>
      </c>
      <c r="J132">
        <f t="shared" si="72"/>
        <v>-11.21</v>
      </c>
      <c r="K132">
        <f t="shared" si="73"/>
        <v>18</v>
      </c>
      <c r="N132">
        <f t="shared" si="74"/>
        <v>-35.42</v>
      </c>
      <c r="O132">
        <f t="shared" si="68"/>
        <v>18</v>
      </c>
      <c r="R132">
        <f t="shared" si="75"/>
        <v>65</v>
      </c>
      <c r="S132">
        <f>教科書掲載表!R48</f>
        <v>95</v>
      </c>
      <c r="T132">
        <f>教科書掲載表!T48</f>
        <v>4.4000000000000004</v>
      </c>
      <c r="V132">
        <f t="shared" si="76"/>
        <v>65</v>
      </c>
      <c r="W132">
        <f t="shared" si="77"/>
        <v>95</v>
      </c>
      <c r="X132">
        <f t="shared" si="69"/>
        <v>4.4000000000000004</v>
      </c>
      <c r="Z132">
        <f t="shared" si="70"/>
        <v>-10.199999999999999</v>
      </c>
      <c r="AA132">
        <f>教科書掲載表!A106</f>
        <v>0.8</v>
      </c>
      <c r="AD132">
        <f t="shared" si="78"/>
        <v>-5.9</v>
      </c>
      <c r="AE132">
        <f t="shared" si="67"/>
        <v>0.8</v>
      </c>
    </row>
    <row r="133" spans="1:31" x14ac:dyDescent="0.4">
      <c r="A133">
        <f>'例題7.1~7.4'!Q13</f>
        <v>6</v>
      </c>
      <c r="B133">
        <f>SMALL(A135:A195,COUNTIF(A135:A195,"&lt;=0")+1)</f>
        <v>0.29999999999999982</v>
      </c>
      <c r="C133">
        <f>VLOOKUP(B133,A135:B195,2,FALSE)</f>
        <v>6.3</v>
      </c>
      <c r="F133">
        <f t="shared" si="71"/>
        <v>-10.5</v>
      </c>
      <c r="G133">
        <f>教科書掲載表!N49</f>
        <v>19</v>
      </c>
      <c r="J133">
        <f t="shared" si="72"/>
        <v>-10.210000000000001</v>
      </c>
      <c r="K133">
        <f t="shared" si="73"/>
        <v>19</v>
      </c>
      <c r="N133">
        <f t="shared" si="74"/>
        <v>-34.42</v>
      </c>
      <c r="O133">
        <f t="shared" si="68"/>
        <v>19</v>
      </c>
      <c r="R133">
        <f t="shared" si="75"/>
        <v>80</v>
      </c>
      <c r="S133">
        <f>教科書掲載表!R49</f>
        <v>110</v>
      </c>
      <c r="T133">
        <f>教科書掲載表!T49</f>
        <v>5.4</v>
      </c>
      <c r="V133">
        <f t="shared" si="76"/>
        <v>80</v>
      </c>
      <c r="W133">
        <f t="shared" si="77"/>
        <v>110</v>
      </c>
      <c r="X133">
        <f t="shared" si="69"/>
        <v>5.4</v>
      </c>
      <c r="Z133">
        <f t="shared" si="70"/>
        <v>-10.1</v>
      </c>
      <c r="AA133">
        <f>教科書掲載表!A107</f>
        <v>0.9</v>
      </c>
      <c r="AD133">
        <f t="shared" si="78"/>
        <v>-5.8</v>
      </c>
      <c r="AE133">
        <f t="shared" si="67"/>
        <v>0.9</v>
      </c>
    </row>
    <row r="134" spans="1:31" x14ac:dyDescent="0.4">
      <c r="A134" t="str">
        <f>A69</f>
        <v>差</v>
      </c>
      <c r="B134" t="str">
        <f>B69</f>
        <v>R10</v>
      </c>
      <c r="F134">
        <f t="shared" si="71"/>
        <v>-9.5</v>
      </c>
      <c r="G134">
        <f>教科書掲載表!N50</f>
        <v>20</v>
      </c>
      <c r="J134">
        <f t="shared" si="72"/>
        <v>-9.2100000000000009</v>
      </c>
      <c r="K134">
        <f t="shared" si="73"/>
        <v>20</v>
      </c>
      <c r="N134">
        <f t="shared" si="74"/>
        <v>-33.42</v>
      </c>
      <c r="O134">
        <f t="shared" si="68"/>
        <v>20</v>
      </c>
      <c r="R134">
        <f t="shared" si="75"/>
        <v>100</v>
      </c>
      <c r="S134">
        <f>教科書掲載表!R50</f>
        <v>130</v>
      </c>
      <c r="T134">
        <f>教科書掲載表!T50</f>
        <v>6.4</v>
      </c>
      <c r="V134">
        <f t="shared" si="76"/>
        <v>100</v>
      </c>
      <c r="W134">
        <f t="shared" si="77"/>
        <v>130</v>
      </c>
      <c r="X134">
        <f t="shared" si="69"/>
        <v>6.4</v>
      </c>
      <c r="Z134">
        <f t="shared" si="70"/>
        <v>-10</v>
      </c>
      <c r="AA134">
        <f>教科書掲載表!A108</f>
        <v>1</v>
      </c>
      <c r="AD134">
        <f t="shared" si="78"/>
        <v>-5.7</v>
      </c>
      <c r="AE134">
        <f t="shared" si="67"/>
        <v>1</v>
      </c>
    </row>
    <row r="135" spans="1:31" x14ac:dyDescent="0.4">
      <c r="A135">
        <f>B135-$A$133</f>
        <v>-5.9</v>
      </c>
      <c r="B135">
        <f t="shared" ref="B135" si="79">B70</f>
        <v>0.1</v>
      </c>
      <c r="F135">
        <f t="shared" si="71"/>
        <v>-8.5</v>
      </c>
      <c r="G135">
        <f>教科書掲載表!N51</f>
        <v>21</v>
      </c>
      <c r="J135">
        <f t="shared" si="72"/>
        <v>-8.2100000000000009</v>
      </c>
      <c r="K135">
        <f t="shared" si="73"/>
        <v>21</v>
      </c>
      <c r="N135">
        <f t="shared" si="74"/>
        <v>-32.42</v>
      </c>
      <c r="O135">
        <f t="shared" si="68"/>
        <v>21</v>
      </c>
      <c r="Z135">
        <f t="shared" si="70"/>
        <v>-9.875</v>
      </c>
      <c r="AA135">
        <f>教科書掲載表!A109</f>
        <v>1.125</v>
      </c>
      <c r="AD135">
        <f t="shared" si="78"/>
        <v>-5.5750000000000002</v>
      </c>
      <c r="AE135">
        <f t="shared" si="67"/>
        <v>1.125</v>
      </c>
    </row>
    <row r="136" spans="1:31" x14ac:dyDescent="0.4">
      <c r="A136">
        <f t="shared" ref="A136:A195" si="80">B136-$A$133</f>
        <v>-5.875</v>
      </c>
      <c r="B136">
        <f t="shared" ref="B136" si="81">B71</f>
        <v>0.125</v>
      </c>
      <c r="F136">
        <f t="shared" si="71"/>
        <v>-7.5</v>
      </c>
      <c r="G136">
        <f>教科書掲載表!N52</f>
        <v>22</v>
      </c>
      <c r="J136">
        <f t="shared" si="72"/>
        <v>-7.2100000000000009</v>
      </c>
      <c r="K136">
        <f t="shared" si="73"/>
        <v>22</v>
      </c>
      <c r="N136">
        <f t="shared" si="74"/>
        <v>-31.42</v>
      </c>
      <c r="O136">
        <f t="shared" si="68"/>
        <v>22</v>
      </c>
      <c r="Z136">
        <f t="shared" si="70"/>
        <v>-9.75</v>
      </c>
      <c r="AA136">
        <f>教科書掲載表!A110</f>
        <v>1.25</v>
      </c>
      <c r="AD136">
        <f t="shared" si="78"/>
        <v>-5.45</v>
      </c>
      <c r="AE136">
        <f t="shared" si="67"/>
        <v>1.25</v>
      </c>
    </row>
    <row r="137" spans="1:31" x14ac:dyDescent="0.4">
      <c r="A137">
        <f t="shared" si="80"/>
        <v>-5.84</v>
      </c>
      <c r="B137">
        <f t="shared" ref="B137" si="82">B72</f>
        <v>0.16</v>
      </c>
      <c r="F137">
        <f t="shared" si="71"/>
        <v>-6.5</v>
      </c>
      <c r="G137">
        <f>教科書掲載表!N53</f>
        <v>23</v>
      </c>
      <c r="J137">
        <f t="shared" si="72"/>
        <v>-6.2100000000000009</v>
      </c>
      <c r="K137">
        <f t="shared" si="73"/>
        <v>23</v>
      </c>
      <c r="N137">
        <f t="shared" si="74"/>
        <v>-30.42</v>
      </c>
      <c r="O137">
        <f t="shared" si="68"/>
        <v>23</v>
      </c>
      <c r="Z137">
        <f t="shared" si="70"/>
        <v>-9.625</v>
      </c>
      <c r="AA137">
        <f>教科書掲載表!A111</f>
        <v>1.375</v>
      </c>
      <c r="AD137">
        <f t="shared" si="78"/>
        <v>-5.3250000000000002</v>
      </c>
      <c r="AE137">
        <f t="shared" si="67"/>
        <v>1.375</v>
      </c>
    </row>
    <row r="138" spans="1:31" x14ac:dyDescent="0.4">
      <c r="A138">
        <f t="shared" si="80"/>
        <v>-5.8</v>
      </c>
      <c r="B138">
        <f t="shared" ref="B138" si="83">B73</f>
        <v>0.2</v>
      </c>
      <c r="F138">
        <f t="shared" si="71"/>
        <v>-5.5</v>
      </c>
      <c r="G138">
        <f>教科書掲載表!N54</f>
        <v>24</v>
      </c>
      <c r="J138">
        <f t="shared" si="72"/>
        <v>-5.2100000000000009</v>
      </c>
      <c r="K138">
        <f t="shared" si="73"/>
        <v>24</v>
      </c>
      <c r="N138">
        <f t="shared" si="74"/>
        <v>-29.42</v>
      </c>
      <c r="O138">
        <f t="shared" si="68"/>
        <v>24</v>
      </c>
      <c r="Z138">
        <f t="shared" si="70"/>
        <v>-9.5</v>
      </c>
      <c r="AA138">
        <f>教科書掲載表!A112</f>
        <v>1.5</v>
      </c>
      <c r="AD138">
        <f t="shared" si="78"/>
        <v>-5.2</v>
      </c>
      <c r="AE138">
        <f t="shared" si="67"/>
        <v>1.5</v>
      </c>
    </row>
    <row r="139" spans="1:31" x14ac:dyDescent="0.4">
      <c r="A139">
        <f t="shared" si="80"/>
        <v>-5.75</v>
      </c>
      <c r="B139">
        <f t="shared" ref="B139" si="84">B74</f>
        <v>0.25</v>
      </c>
      <c r="F139">
        <f t="shared" si="71"/>
        <v>-4.5</v>
      </c>
      <c r="G139">
        <f>教科書掲載表!N55</f>
        <v>25</v>
      </c>
      <c r="J139">
        <f t="shared" si="72"/>
        <v>-4.2100000000000009</v>
      </c>
      <c r="K139">
        <f t="shared" si="73"/>
        <v>25</v>
      </c>
      <c r="N139">
        <f t="shared" si="74"/>
        <v>-28.42</v>
      </c>
      <c r="O139">
        <f t="shared" si="68"/>
        <v>25</v>
      </c>
      <c r="Z139">
        <f t="shared" si="70"/>
        <v>-9.25</v>
      </c>
      <c r="AA139">
        <f>教科書掲載表!A113</f>
        <v>1.75</v>
      </c>
      <c r="AD139">
        <f t="shared" si="78"/>
        <v>-4.95</v>
      </c>
      <c r="AE139">
        <f t="shared" si="67"/>
        <v>1.75</v>
      </c>
    </row>
    <row r="140" spans="1:31" x14ac:dyDescent="0.4">
      <c r="A140">
        <f t="shared" si="80"/>
        <v>-5.6849999999999996</v>
      </c>
      <c r="B140">
        <f t="shared" ref="B140" si="85">B75</f>
        <v>0.315</v>
      </c>
      <c r="F140">
        <f t="shared" si="71"/>
        <v>-3.5</v>
      </c>
      <c r="G140">
        <f>教科書掲載表!N56</f>
        <v>26</v>
      </c>
      <c r="J140">
        <f t="shared" si="72"/>
        <v>-3.2100000000000009</v>
      </c>
      <c r="K140">
        <f t="shared" si="73"/>
        <v>26</v>
      </c>
      <c r="N140">
        <f t="shared" si="74"/>
        <v>-27.42</v>
      </c>
      <c r="O140">
        <f t="shared" si="68"/>
        <v>26</v>
      </c>
      <c r="Z140">
        <f t="shared" si="70"/>
        <v>-9</v>
      </c>
      <c r="AA140">
        <f>教科書掲載表!A114</f>
        <v>2</v>
      </c>
      <c r="AD140">
        <f t="shared" si="78"/>
        <v>-4.7</v>
      </c>
      <c r="AE140">
        <f t="shared" si="67"/>
        <v>2</v>
      </c>
    </row>
    <row r="141" spans="1:31" x14ac:dyDescent="0.4">
      <c r="A141">
        <f t="shared" si="80"/>
        <v>-5.6</v>
      </c>
      <c r="B141">
        <f t="shared" ref="B141" si="86">B76</f>
        <v>0.4</v>
      </c>
      <c r="F141">
        <f t="shared" si="71"/>
        <v>-1.5</v>
      </c>
      <c r="G141">
        <f>教科書掲載表!N57</f>
        <v>28</v>
      </c>
      <c r="J141">
        <f t="shared" si="72"/>
        <v>-1.2100000000000009</v>
      </c>
      <c r="K141">
        <f t="shared" si="73"/>
        <v>28</v>
      </c>
      <c r="N141">
        <f t="shared" si="74"/>
        <v>-25.42</v>
      </c>
      <c r="O141">
        <f t="shared" si="68"/>
        <v>28</v>
      </c>
      <c r="Z141">
        <f t="shared" si="70"/>
        <v>-8.75</v>
      </c>
      <c r="AA141">
        <f>教科書掲載表!A115</f>
        <v>2.25</v>
      </c>
      <c r="AD141">
        <f t="shared" si="78"/>
        <v>-4.45</v>
      </c>
      <c r="AE141">
        <f t="shared" si="67"/>
        <v>2.25</v>
      </c>
    </row>
    <row r="142" spans="1:31" x14ac:dyDescent="0.4">
      <c r="A142">
        <f t="shared" si="80"/>
        <v>-5.5</v>
      </c>
      <c r="B142">
        <f t="shared" ref="B142" si="87">B77</f>
        <v>0.5</v>
      </c>
      <c r="F142">
        <f t="shared" si="71"/>
        <v>0.5</v>
      </c>
      <c r="G142">
        <f>教科書掲載表!N58</f>
        <v>30</v>
      </c>
      <c r="J142">
        <f t="shared" si="72"/>
        <v>0.78999999999999915</v>
      </c>
      <c r="K142">
        <f t="shared" si="73"/>
        <v>30</v>
      </c>
      <c r="N142">
        <f t="shared" si="74"/>
        <v>-23.42</v>
      </c>
      <c r="O142">
        <f t="shared" si="68"/>
        <v>30</v>
      </c>
      <c r="Z142">
        <f t="shared" si="70"/>
        <v>-8.5</v>
      </c>
      <c r="AA142">
        <f>教科書掲載表!A116</f>
        <v>2.5</v>
      </c>
      <c r="AD142">
        <f t="shared" si="78"/>
        <v>-4.2</v>
      </c>
      <c r="AE142">
        <f t="shared" si="67"/>
        <v>2.5</v>
      </c>
    </row>
    <row r="143" spans="1:31" x14ac:dyDescent="0.4">
      <c r="A143">
        <f t="shared" si="80"/>
        <v>-5.37</v>
      </c>
      <c r="B143">
        <f t="shared" ref="B143" si="88">B78</f>
        <v>0.63</v>
      </c>
      <c r="F143">
        <f t="shared" si="71"/>
        <v>2.5</v>
      </c>
      <c r="G143">
        <f>教科書掲載表!N59</f>
        <v>32</v>
      </c>
      <c r="J143">
        <f t="shared" si="72"/>
        <v>2.7899999999999991</v>
      </c>
      <c r="K143">
        <f t="shared" si="73"/>
        <v>32</v>
      </c>
      <c r="N143">
        <f t="shared" si="74"/>
        <v>-21.42</v>
      </c>
      <c r="O143">
        <f t="shared" si="68"/>
        <v>32</v>
      </c>
      <c r="Z143">
        <f t="shared" si="70"/>
        <v>-8.25</v>
      </c>
      <c r="AA143">
        <f>教科書掲載表!A117</f>
        <v>2.75</v>
      </c>
      <c r="AD143">
        <f t="shared" si="78"/>
        <v>-3.95</v>
      </c>
      <c r="AE143">
        <f t="shared" si="67"/>
        <v>2.75</v>
      </c>
    </row>
    <row r="144" spans="1:31" x14ac:dyDescent="0.4">
      <c r="A144">
        <f t="shared" si="80"/>
        <v>-5.2</v>
      </c>
      <c r="B144">
        <f t="shared" ref="B144" si="89">B79</f>
        <v>0.8</v>
      </c>
      <c r="F144">
        <f t="shared" si="71"/>
        <v>5.5</v>
      </c>
      <c r="G144">
        <f>教科書掲載表!N60</f>
        <v>35</v>
      </c>
      <c r="J144">
        <f t="shared" si="72"/>
        <v>5.7899999999999991</v>
      </c>
      <c r="K144">
        <f t="shared" si="73"/>
        <v>35</v>
      </c>
      <c r="N144">
        <f t="shared" si="74"/>
        <v>-18.420000000000002</v>
      </c>
      <c r="O144">
        <f t="shared" si="68"/>
        <v>35</v>
      </c>
      <c r="Z144">
        <f t="shared" ref="Z144:Z168" si="90">AA144-$Z$117</f>
        <v>-8</v>
      </c>
      <c r="AA144">
        <f>教科書掲載表!A118</f>
        <v>3</v>
      </c>
      <c r="AD144">
        <f t="shared" si="78"/>
        <v>-3.7</v>
      </c>
      <c r="AE144">
        <f t="shared" si="67"/>
        <v>3</v>
      </c>
    </row>
    <row r="145" spans="1:31" x14ac:dyDescent="0.4">
      <c r="A145">
        <f t="shared" si="80"/>
        <v>-5</v>
      </c>
      <c r="B145">
        <f t="shared" ref="B145" si="91">B80</f>
        <v>1</v>
      </c>
      <c r="F145">
        <f t="shared" si="71"/>
        <v>6.5</v>
      </c>
      <c r="G145">
        <f>教科書掲載表!N61</f>
        <v>36</v>
      </c>
      <c r="J145">
        <f t="shared" si="72"/>
        <v>6.7899999999999991</v>
      </c>
      <c r="K145">
        <f t="shared" si="73"/>
        <v>36</v>
      </c>
      <c r="N145">
        <f t="shared" si="74"/>
        <v>-17.420000000000002</v>
      </c>
      <c r="O145">
        <f t="shared" si="68"/>
        <v>36</v>
      </c>
      <c r="Z145">
        <f t="shared" si="90"/>
        <v>-7.5</v>
      </c>
      <c r="AA145">
        <f>教科書掲載表!A119</f>
        <v>3.5</v>
      </c>
      <c r="AD145">
        <f t="shared" si="78"/>
        <v>-3.2</v>
      </c>
      <c r="AE145">
        <f t="shared" si="67"/>
        <v>3.5</v>
      </c>
    </row>
    <row r="146" spans="1:31" x14ac:dyDescent="0.4">
      <c r="A146">
        <f t="shared" si="80"/>
        <v>-4.75</v>
      </c>
      <c r="B146">
        <f t="shared" ref="B146" si="92">B81</f>
        <v>1.25</v>
      </c>
      <c r="F146">
        <f t="shared" si="71"/>
        <v>8.5</v>
      </c>
      <c r="G146">
        <f>教科書掲載表!N62</f>
        <v>38</v>
      </c>
      <c r="J146">
        <f t="shared" si="72"/>
        <v>8.7899999999999991</v>
      </c>
      <c r="K146">
        <f t="shared" si="73"/>
        <v>38</v>
      </c>
      <c r="N146">
        <f t="shared" si="74"/>
        <v>-15.420000000000002</v>
      </c>
      <c r="O146">
        <f t="shared" si="68"/>
        <v>38</v>
      </c>
      <c r="Z146">
        <f t="shared" si="90"/>
        <v>-7</v>
      </c>
      <c r="AA146">
        <f>教科書掲載表!A120</f>
        <v>4</v>
      </c>
      <c r="AD146">
        <f t="shared" si="78"/>
        <v>-2.7</v>
      </c>
      <c r="AE146">
        <f t="shared" si="67"/>
        <v>4</v>
      </c>
    </row>
    <row r="147" spans="1:31" x14ac:dyDescent="0.4">
      <c r="A147">
        <f t="shared" si="80"/>
        <v>-4.4000000000000004</v>
      </c>
      <c r="B147">
        <f t="shared" ref="B147" si="93">B82</f>
        <v>1.6</v>
      </c>
      <c r="F147">
        <f t="shared" si="71"/>
        <v>10.5</v>
      </c>
      <c r="G147">
        <f>教科書掲載表!N63</f>
        <v>40</v>
      </c>
      <c r="J147">
        <f t="shared" si="72"/>
        <v>10.79</v>
      </c>
      <c r="K147">
        <f t="shared" si="73"/>
        <v>40</v>
      </c>
      <c r="N147">
        <f t="shared" si="74"/>
        <v>-13.420000000000002</v>
      </c>
      <c r="O147">
        <f t="shared" si="68"/>
        <v>40</v>
      </c>
      <c r="Z147">
        <f t="shared" si="90"/>
        <v>-6.5</v>
      </c>
      <c r="AA147">
        <f>教科書掲載表!A121</f>
        <v>4.5</v>
      </c>
      <c r="AD147">
        <f t="shared" si="78"/>
        <v>-2.2000000000000002</v>
      </c>
      <c r="AE147">
        <f t="shared" si="67"/>
        <v>4.5</v>
      </c>
    </row>
    <row r="148" spans="1:31" x14ac:dyDescent="0.4">
      <c r="A148">
        <f t="shared" si="80"/>
        <v>-4</v>
      </c>
      <c r="B148">
        <f t="shared" ref="B148" si="94">B83</f>
        <v>2</v>
      </c>
      <c r="F148">
        <f t="shared" si="71"/>
        <v>12.5</v>
      </c>
      <c r="G148">
        <f>教科書掲載表!N64</f>
        <v>42</v>
      </c>
      <c r="J148">
        <f t="shared" si="72"/>
        <v>12.79</v>
      </c>
      <c r="K148">
        <f t="shared" si="73"/>
        <v>42</v>
      </c>
      <c r="N148">
        <f t="shared" si="74"/>
        <v>-11.420000000000002</v>
      </c>
      <c r="O148">
        <f t="shared" si="68"/>
        <v>42</v>
      </c>
      <c r="Z148">
        <f t="shared" si="90"/>
        <v>-6</v>
      </c>
      <c r="AA148">
        <f>教科書掲載表!A122</f>
        <v>5</v>
      </c>
      <c r="AD148">
        <f t="shared" si="78"/>
        <v>-1.7000000000000002</v>
      </c>
      <c r="AE148">
        <f t="shared" si="67"/>
        <v>5</v>
      </c>
    </row>
    <row r="149" spans="1:31" x14ac:dyDescent="0.4">
      <c r="A149">
        <f t="shared" si="80"/>
        <v>-3.5</v>
      </c>
      <c r="B149">
        <f t="shared" ref="B149" si="95">B84</f>
        <v>2.5</v>
      </c>
      <c r="F149">
        <f t="shared" si="71"/>
        <v>15.5</v>
      </c>
      <c r="G149">
        <f>教科書掲載表!N65</f>
        <v>45</v>
      </c>
      <c r="J149">
        <f t="shared" si="72"/>
        <v>15.79</v>
      </c>
      <c r="K149">
        <f t="shared" si="73"/>
        <v>45</v>
      </c>
      <c r="N149">
        <f t="shared" si="74"/>
        <v>-8.4200000000000017</v>
      </c>
      <c r="O149">
        <f t="shared" si="68"/>
        <v>45</v>
      </c>
      <c r="Z149">
        <f t="shared" si="90"/>
        <v>-5.5</v>
      </c>
      <c r="AA149">
        <f>教科書掲載表!A123</f>
        <v>5.5</v>
      </c>
      <c r="AD149">
        <f t="shared" si="78"/>
        <v>-1.2000000000000002</v>
      </c>
      <c r="AE149">
        <f t="shared" si="67"/>
        <v>5.5</v>
      </c>
    </row>
    <row r="150" spans="1:31" x14ac:dyDescent="0.4">
      <c r="A150">
        <f t="shared" si="80"/>
        <v>-2.85</v>
      </c>
      <c r="B150">
        <f t="shared" ref="B150" si="96">B85</f>
        <v>3.15</v>
      </c>
      <c r="F150">
        <f t="shared" si="71"/>
        <v>18.5</v>
      </c>
      <c r="G150">
        <f>教科書掲載表!N66</f>
        <v>48</v>
      </c>
      <c r="J150">
        <f t="shared" si="72"/>
        <v>18.79</v>
      </c>
      <c r="K150">
        <f t="shared" si="73"/>
        <v>48</v>
      </c>
      <c r="N150">
        <f t="shared" si="74"/>
        <v>-5.4200000000000017</v>
      </c>
      <c r="O150">
        <f t="shared" si="68"/>
        <v>48</v>
      </c>
      <c r="Z150">
        <f t="shared" si="90"/>
        <v>-5</v>
      </c>
      <c r="AA150">
        <f>教科書掲載表!A124</f>
        <v>6</v>
      </c>
      <c r="AD150">
        <f t="shared" si="78"/>
        <v>-0.70000000000000018</v>
      </c>
      <c r="AE150">
        <f t="shared" si="67"/>
        <v>6</v>
      </c>
    </row>
    <row r="151" spans="1:31" x14ac:dyDescent="0.4">
      <c r="A151">
        <f t="shared" si="80"/>
        <v>-2</v>
      </c>
      <c r="B151">
        <f t="shared" ref="B151" si="97">B86</f>
        <v>4</v>
      </c>
      <c r="F151">
        <f t="shared" si="71"/>
        <v>20.5</v>
      </c>
      <c r="G151">
        <f>教科書掲載表!N67</f>
        <v>50</v>
      </c>
      <c r="J151">
        <f t="shared" si="72"/>
        <v>20.79</v>
      </c>
      <c r="K151">
        <f t="shared" si="73"/>
        <v>50</v>
      </c>
      <c r="N151">
        <f t="shared" si="74"/>
        <v>-3.4200000000000017</v>
      </c>
      <c r="O151">
        <f t="shared" si="68"/>
        <v>50</v>
      </c>
      <c r="Z151">
        <f t="shared" si="90"/>
        <v>-4</v>
      </c>
      <c r="AA151">
        <f>教科書掲載表!A125</f>
        <v>7</v>
      </c>
      <c r="AD151">
        <f t="shared" si="78"/>
        <v>1.2999999999999998</v>
      </c>
      <c r="AE151">
        <f t="shared" ref="AE151:AE167" si="98">AA152</f>
        <v>8</v>
      </c>
    </row>
    <row r="152" spans="1:31" x14ac:dyDescent="0.4">
      <c r="A152">
        <f t="shared" si="80"/>
        <v>-1</v>
      </c>
      <c r="B152">
        <f t="shared" ref="B152" si="99">B87</f>
        <v>5</v>
      </c>
      <c r="F152">
        <f t="shared" si="71"/>
        <v>25.5</v>
      </c>
      <c r="G152">
        <f>教科書掲載表!N68</f>
        <v>55</v>
      </c>
      <c r="J152">
        <f t="shared" si="72"/>
        <v>25.79</v>
      </c>
      <c r="K152">
        <f t="shared" si="73"/>
        <v>55</v>
      </c>
      <c r="N152">
        <f t="shared" si="74"/>
        <v>1.5799999999999983</v>
      </c>
      <c r="O152">
        <f t="shared" si="68"/>
        <v>55</v>
      </c>
      <c r="Z152">
        <f t="shared" si="90"/>
        <v>-3</v>
      </c>
      <c r="AA152">
        <f>教科書掲載表!A126</f>
        <v>8</v>
      </c>
      <c r="AD152">
        <f t="shared" si="78"/>
        <v>2.2999999999999998</v>
      </c>
      <c r="AE152">
        <f t="shared" si="98"/>
        <v>9</v>
      </c>
    </row>
    <row r="153" spans="1:31" x14ac:dyDescent="0.4">
      <c r="A153">
        <f t="shared" si="80"/>
        <v>0.29999999999999982</v>
      </c>
      <c r="B153">
        <f t="shared" ref="B153" si="100">B88</f>
        <v>6.3</v>
      </c>
      <c r="F153">
        <f t="shared" si="71"/>
        <v>30.5</v>
      </c>
      <c r="G153">
        <f>教科書掲載表!N69</f>
        <v>60</v>
      </c>
      <c r="J153">
        <f t="shared" si="72"/>
        <v>30.79</v>
      </c>
      <c r="K153">
        <f t="shared" si="73"/>
        <v>60</v>
      </c>
      <c r="N153">
        <f t="shared" si="74"/>
        <v>6.5799999999999983</v>
      </c>
      <c r="O153">
        <f t="shared" si="68"/>
        <v>60</v>
      </c>
      <c r="Z153">
        <f t="shared" si="90"/>
        <v>-2</v>
      </c>
      <c r="AA153">
        <f>教科書掲載表!A127</f>
        <v>9</v>
      </c>
      <c r="AD153">
        <f t="shared" si="78"/>
        <v>3.3</v>
      </c>
      <c r="AE153">
        <f t="shared" si="98"/>
        <v>10</v>
      </c>
    </row>
    <row r="154" spans="1:31" x14ac:dyDescent="0.4">
      <c r="A154">
        <f t="shared" si="80"/>
        <v>2</v>
      </c>
      <c r="B154">
        <f t="shared" ref="B154" si="101">B89</f>
        <v>8</v>
      </c>
      <c r="F154">
        <f t="shared" si="71"/>
        <v>35.5</v>
      </c>
      <c r="G154">
        <f>教科書掲載表!N70</f>
        <v>65</v>
      </c>
      <c r="J154">
        <f t="shared" si="72"/>
        <v>35.79</v>
      </c>
      <c r="K154">
        <f t="shared" si="73"/>
        <v>65</v>
      </c>
      <c r="N154">
        <f t="shared" si="74"/>
        <v>11.579999999999998</v>
      </c>
      <c r="O154">
        <f t="shared" si="68"/>
        <v>65</v>
      </c>
      <c r="Z154">
        <f t="shared" si="90"/>
        <v>-1</v>
      </c>
      <c r="AA154">
        <f>教科書掲載表!A128</f>
        <v>10</v>
      </c>
      <c r="AD154">
        <f t="shared" si="78"/>
        <v>4.3</v>
      </c>
      <c r="AE154">
        <f t="shared" si="98"/>
        <v>11</v>
      </c>
    </row>
    <row r="155" spans="1:31" x14ac:dyDescent="0.4">
      <c r="A155">
        <f t="shared" si="80"/>
        <v>4</v>
      </c>
      <c r="B155">
        <f t="shared" ref="B155" si="102">B90</f>
        <v>10</v>
      </c>
      <c r="F155">
        <f t="shared" si="71"/>
        <v>40.5</v>
      </c>
      <c r="G155">
        <f>教科書掲載表!N71</f>
        <v>70</v>
      </c>
      <c r="J155">
        <f t="shared" si="72"/>
        <v>40.79</v>
      </c>
      <c r="K155">
        <f t="shared" si="73"/>
        <v>70</v>
      </c>
      <c r="N155">
        <f t="shared" si="74"/>
        <v>16.579999999999998</v>
      </c>
      <c r="O155">
        <f t="shared" si="68"/>
        <v>70</v>
      </c>
      <c r="Z155">
        <f t="shared" si="90"/>
        <v>0</v>
      </c>
      <c r="AA155">
        <f>教科書掲載表!A129</f>
        <v>11</v>
      </c>
      <c r="AD155">
        <f t="shared" si="78"/>
        <v>5.3</v>
      </c>
      <c r="AE155">
        <f t="shared" si="98"/>
        <v>12</v>
      </c>
    </row>
    <row r="156" spans="1:31" x14ac:dyDescent="0.4">
      <c r="A156">
        <f t="shared" si="80"/>
        <v>6.5</v>
      </c>
      <c r="B156">
        <f t="shared" ref="B156" si="103">B91</f>
        <v>12.5</v>
      </c>
      <c r="F156">
        <f t="shared" si="71"/>
        <v>45.5</v>
      </c>
      <c r="G156">
        <f>教科書掲載表!N72</f>
        <v>75</v>
      </c>
      <c r="J156">
        <f t="shared" si="72"/>
        <v>45.79</v>
      </c>
      <c r="K156">
        <f t="shared" si="73"/>
        <v>75</v>
      </c>
      <c r="N156">
        <f t="shared" si="74"/>
        <v>21.58</v>
      </c>
      <c r="O156">
        <f t="shared" si="68"/>
        <v>75</v>
      </c>
      <c r="Z156">
        <f t="shared" si="90"/>
        <v>1</v>
      </c>
      <c r="AA156">
        <f>教科書掲載表!A130</f>
        <v>12</v>
      </c>
      <c r="AD156">
        <f t="shared" si="78"/>
        <v>7.3</v>
      </c>
      <c r="AE156">
        <f t="shared" si="98"/>
        <v>14</v>
      </c>
    </row>
    <row r="157" spans="1:31" x14ac:dyDescent="0.4">
      <c r="A157">
        <f t="shared" si="80"/>
        <v>10</v>
      </c>
      <c r="B157">
        <f t="shared" ref="B157" si="104">B92</f>
        <v>16</v>
      </c>
      <c r="F157">
        <f t="shared" si="71"/>
        <v>50.5</v>
      </c>
      <c r="G157">
        <f>教科書掲載表!N73</f>
        <v>80</v>
      </c>
      <c r="J157">
        <f t="shared" si="72"/>
        <v>50.79</v>
      </c>
      <c r="K157">
        <f t="shared" si="73"/>
        <v>80</v>
      </c>
      <c r="N157">
        <f t="shared" si="74"/>
        <v>26.58</v>
      </c>
      <c r="O157">
        <f t="shared" si="68"/>
        <v>80</v>
      </c>
      <c r="Z157">
        <f t="shared" si="90"/>
        <v>3</v>
      </c>
      <c r="AA157">
        <f>教科書掲載表!A131</f>
        <v>14</v>
      </c>
      <c r="AD157">
        <f t="shared" si="78"/>
        <v>9.3000000000000007</v>
      </c>
      <c r="AE157">
        <f t="shared" si="98"/>
        <v>16</v>
      </c>
    </row>
    <row r="158" spans="1:31" x14ac:dyDescent="0.4">
      <c r="A158">
        <f t="shared" si="80"/>
        <v>14</v>
      </c>
      <c r="B158">
        <f t="shared" ref="B158" si="105">B93</f>
        <v>20</v>
      </c>
      <c r="F158">
        <f t="shared" si="71"/>
        <v>55.5</v>
      </c>
      <c r="G158">
        <f>教科書掲載表!N74</f>
        <v>85</v>
      </c>
      <c r="J158">
        <f t="shared" si="72"/>
        <v>55.79</v>
      </c>
      <c r="K158">
        <f t="shared" si="73"/>
        <v>85</v>
      </c>
      <c r="N158">
        <f t="shared" si="74"/>
        <v>31.58</v>
      </c>
      <c r="O158">
        <f t="shared" si="68"/>
        <v>85</v>
      </c>
      <c r="Z158">
        <f t="shared" si="90"/>
        <v>5</v>
      </c>
      <c r="AA158">
        <f>教科書掲載表!A132</f>
        <v>16</v>
      </c>
      <c r="AD158">
        <f t="shared" si="78"/>
        <v>11.3</v>
      </c>
      <c r="AE158">
        <f t="shared" si="98"/>
        <v>18</v>
      </c>
    </row>
    <row r="159" spans="1:31" x14ac:dyDescent="0.4">
      <c r="A159">
        <f t="shared" si="80"/>
        <v>19</v>
      </c>
      <c r="B159">
        <f t="shared" ref="B159" si="106">B94</f>
        <v>25</v>
      </c>
      <c r="F159">
        <f t="shared" si="71"/>
        <v>60.5</v>
      </c>
      <c r="G159">
        <f>教科書掲載表!N75</f>
        <v>90</v>
      </c>
      <c r="J159">
        <f t="shared" si="72"/>
        <v>60.79</v>
      </c>
      <c r="K159">
        <f t="shared" si="73"/>
        <v>90</v>
      </c>
      <c r="N159">
        <f t="shared" si="74"/>
        <v>36.58</v>
      </c>
      <c r="O159">
        <f t="shared" si="68"/>
        <v>90</v>
      </c>
      <c r="Z159">
        <f t="shared" si="90"/>
        <v>7</v>
      </c>
      <c r="AA159">
        <f>教科書掲載表!A133</f>
        <v>18</v>
      </c>
      <c r="AD159">
        <f t="shared" si="78"/>
        <v>13.3</v>
      </c>
      <c r="AE159">
        <f t="shared" si="98"/>
        <v>20</v>
      </c>
    </row>
    <row r="160" spans="1:31" x14ac:dyDescent="0.4">
      <c r="A160">
        <f t="shared" si="80"/>
        <v>25.5</v>
      </c>
      <c r="B160">
        <f t="shared" ref="B160" si="107">B95</f>
        <v>31.5</v>
      </c>
      <c r="F160">
        <f t="shared" si="71"/>
        <v>65.5</v>
      </c>
      <c r="G160">
        <f>教科書掲載表!N76</f>
        <v>95</v>
      </c>
      <c r="J160">
        <f t="shared" si="72"/>
        <v>65.789999999999992</v>
      </c>
      <c r="K160">
        <f t="shared" si="73"/>
        <v>95</v>
      </c>
      <c r="N160">
        <f t="shared" si="74"/>
        <v>41.58</v>
      </c>
      <c r="O160">
        <f t="shared" si="68"/>
        <v>95</v>
      </c>
      <c r="Z160">
        <f t="shared" si="90"/>
        <v>9</v>
      </c>
      <c r="AA160">
        <f>教科書掲載表!A134</f>
        <v>20</v>
      </c>
      <c r="AD160">
        <f t="shared" si="78"/>
        <v>15.3</v>
      </c>
      <c r="AE160">
        <f t="shared" si="98"/>
        <v>22</v>
      </c>
    </row>
    <row r="161" spans="1:31" x14ac:dyDescent="0.4">
      <c r="A161">
        <f t="shared" si="80"/>
        <v>34</v>
      </c>
      <c r="B161">
        <f t="shared" ref="B161" si="108">B96</f>
        <v>40</v>
      </c>
      <c r="F161">
        <f t="shared" si="71"/>
        <v>70.5</v>
      </c>
      <c r="G161">
        <f>教科書掲載表!N77</f>
        <v>100</v>
      </c>
      <c r="J161">
        <f t="shared" si="72"/>
        <v>70.789999999999992</v>
      </c>
      <c r="K161">
        <f t="shared" si="73"/>
        <v>100</v>
      </c>
      <c r="N161">
        <f t="shared" si="74"/>
        <v>46.58</v>
      </c>
      <c r="O161">
        <f t="shared" si="68"/>
        <v>100</v>
      </c>
      <c r="Z161">
        <f t="shared" si="90"/>
        <v>11</v>
      </c>
      <c r="AA161">
        <f>教科書掲載表!A135</f>
        <v>22</v>
      </c>
      <c r="AD161">
        <f t="shared" si="78"/>
        <v>18.3</v>
      </c>
      <c r="AE161">
        <f t="shared" si="98"/>
        <v>25</v>
      </c>
    </row>
    <row r="162" spans="1:31" x14ac:dyDescent="0.4">
      <c r="A162">
        <f t="shared" si="80"/>
        <v>44</v>
      </c>
      <c r="B162">
        <f t="shared" ref="B162" si="109">B97</f>
        <v>50</v>
      </c>
      <c r="Z162">
        <f t="shared" si="90"/>
        <v>14</v>
      </c>
      <c r="AA162">
        <f>教科書掲載表!A136</f>
        <v>25</v>
      </c>
      <c r="AD162">
        <f t="shared" si="78"/>
        <v>21.3</v>
      </c>
      <c r="AE162">
        <f t="shared" si="98"/>
        <v>28</v>
      </c>
    </row>
    <row r="163" spans="1:31" x14ac:dyDescent="0.4">
      <c r="A163">
        <f t="shared" si="80"/>
        <v>57</v>
      </c>
      <c r="B163">
        <f t="shared" ref="B163" si="110">B98</f>
        <v>63</v>
      </c>
      <c r="Z163">
        <f t="shared" si="90"/>
        <v>17</v>
      </c>
      <c r="AA163">
        <f>教科書掲載表!A137</f>
        <v>28</v>
      </c>
      <c r="AD163">
        <f t="shared" si="78"/>
        <v>25.3</v>
      </c>
      <c r="AE163">
        <f t="shared" si="98"/>
        <v>32</v>
      </c>
    </row>
    <row r="164" spans="1:31" x14ac:dyDescent="0.4">
      <c r="A164">
        <f t="shared" si="80"/>
        <v>74</v>
      </c>
      <c r="B164">
        <f t="shared" ref="B164" si="111">B99</f>
        <v>80</v>
      </c>
      <c r="F164" t="s">
        <v>816</v>
      </c>
      <c r="G164" t="s">
        <v>780</v>
      </c>
      <c r="H164" t="s">
        <v>763</v>
      </c>
      <c r="I164" t="s">
        <v>817</v>
      </c>
      <c r="K164" t="s">
        <v>816</v>
      </c>
      <c r="L164" t="s">
        <v>780</v>
      </c>
      <c r="M164" t="s">
        <v>763</v>
      </c>
      <c r="N164" t="s">
        <v>817</v>
      </c>
      <c r="R164" t="s">
        <v>305</v>
      </c>
      <c r="S164" t="s">
        <v>818</v>
      </c>
      <c r="T164" t="s">
        <v>590</v>
      </c>
      <c r="Z164">
        <f t="shared" si="90"/>
        <v>21</v>
      </c>
      <c r="AA164">
        <f>教科書掲載表!A138</f>
        <v>32</v>
      </c>
      <c r="AD164">
        <f t="shared" si="78"/>
        <v>29.3</v>
      </c>
      <c r="AE164">
        <f t="shared" si="98"/>
        <v>36</v>
      </c>
    </row>
    <row r="165" spans="1:31" x14ac:dyDescent="0.4">
      <c r="A165">
        <f t="shared" si="80"/>
        <v>94</v>
      </c>
      <c r="B165">
        <f t="shared" ref="B165" si="112">B100</f>
        <v>100</v>
      </c>
      <c r="F165">
        <f>'4,5章'!A30</f>
        <v>8</v>
      </c>
      <c r="G165">
        <f>SMALL(F167:F174,COUNTIF(F167:F174,"&lt;=0"))</f>
        <v>0</v>
      </c>
      <c r="H165">
        <f>VLOOKUP(G165,F167:H174,3)</f>
        <v>125</v>
      </c>
      <c r="I165">
        <f>H165/2</f>
        <v>62.5</v>
      </c>
      <c r="K165">
        <f>F165</f>
        <v>8</v>
      </c>
      <c r="L165">
        <f>SMALL(K167:K174,COUNTIF(K167:K174,"&lt;=0"))</f>
        <v>0</v>
      </c>
      <c r="M165">
        <f>VLOOKUP(L165,K167:M174,3)</f>
        <v>120</v>
      </c>
      <c r="N165">
        <f>M165/2</f>
        <v>60</v>
      </c>
      <c r="R165">
        <f>AVERAGE('例題11.2'!H4:H5)</f>
        <v>38</v>
      </c>
      <c r="S165">
        <f>IF(SMALL(R167:R210,COUNTIF(R167:R210,"&lt;=0"))=0,SMALL(R167:R210,COUNTIF(R167:R210,"&lt;=0")),SMALL(R167:R210,COUNTIF(R167:R210,"&lt;=0")+1))</f>
        <v>0</v>
      </c>
      <c r="T165">
        <f>VLOOKUP(S165,R167:S210,2)</f>
        <v>38</v>
      </c>
      <c r="Z165">
        <f t="shared" si="90"/>
        <v>25</v>
      </c>
      <c r="AA165">
        <f>教科書掲載表!A139</f>
        <v>36</v>
      </c>
      <c r="AD165">
        <f t="shared" si="78"/>
        <v>33.299999999999997</v>
      </c>
      <c r="AE165">
        <f t="shared" si="98"/>
        <v>40</v>
      </c>
    </row>
    <row r="166" spans="1:31" x14ac:dyDescent="0.4">
      <c r="A166">
        <f t="shared" si="80"/>
        <v>119</v>
      </c>
      <c r="B166">
        <f t="shared" ref="B166" si="113">B101</f>
        <v>125</v>
      </c>
      <c r="F166" t="s">
        <v>819</v>
      </c>
      <c r="G166" t="s">
        <v>820</v>
      </c>
      <c r="H166" t="s">
        <v>389</v>
      </c>
      <c r="K166" t="s">
        <v>821</v>
      </c>
      <c r="L166" t="s">
        <v>820</v>
      </c>
      <c r="M166" t="s">
        <v>389</v>
      </c>
      <c r="R166" t="s">
        <v>822</v>
      </c>
      <c r="S166" t="str">
        <f>教科書掲載表!A34</f>
        <v>丸鋼標準径</v>
      </c>
      <c r="Z166">
        <f t="shared" si="90"/>
        <v>29</v>
      </c>
      <c r="AA166">
        <f>教科書掲載表!A140</f>
        <v>40</v>
      </c>
      <c r="AD166">
        <f t="shared" si="78"/>
        <v>38.299999999999997</v>
      </c>
      <c r="AE166">
        <f t="shared" si="98"/>
        <v>45</v>
      </c>
    </row>
    <row r="167" spans="1:31" x14ac:dyDescent="0.4">
      <c r="A167">
        <f t="shared" si="80"/>
        <v>154</v>
      </c>
      <c r="B167">
        <f t="shared" ref="B167" si="114">B102</f>
        <v>160</v>
      </c>
      <c r="F167">
        <f>G167-$F$165</f>
        <v>-5</v>
      </c>
      <c r="G167">
        <f>教科書掲載表!AG24</f>
        <v>3</v>
      </c>
      <c r="H167">
        <f>教科書掲載表!AH24</f>
        <v>80</v>
      </c>
      <c r="K167">
        <f>L167-$F$165</f>
        <v>-5</v>
      </c>
      <c r="L167">
        <f>教科書掲載表!AI24</f>
        <v>3</v>
      </c>
      <c r="M167">
        <f>教科書掲載表!AJ24</f>
        <v>70</v>
      </c>
      <c r="R167">
        <f>S167-$R$165</f>
        <v>-32.5</v>
      </c>
      <c r="S167">
        <f>教科書掲載表!A35</f>
        <v>5.5</v>
      </c>
      <c r="Z167">
        <f t="shared" si="90"/>
        <v>34</v>
      </c>
      <c r="AA167">
        <f>教科書掲載表!A141</f>
        <v>45</v>
      </c>
      <c r="AD167">
        <f t="shared" si="78"/>
        <v>43.3</v>
      </c>
      <c r="AE167">
        <f t="shared" si="98"/>
        <v>50</v>
      </c>
    </row>
    <row r="168" spans="1:31" x14ac:dyDescent="0.4">
      <c r="A168">
        <f t="shared" si="80"/>
        <v>194</v>
      </c>
      <c r="B168">
        <f t="shared" ref="B168" si="115">B103</f>
        <v>200</v>
      </c>
      <c r="F168">
        <f t="shared" ref="F168:F174" si="116">G168-$F$165</f>
        <v>-4</v>
      </c>
      <c r="G168">
        <f>教科書掲載表!AG25</f>
        <v>4</v>
      </c>
      <c r="H168">
        <f>教科書掲載表!AH25</f>
        <v>90</v>
      </c>
      <c r="K168">
        <f t="shared" ref="K168:K173" si="117">L168-$F$165</f>
        <v>-4</v>
      </c>
      <c r="L168">
        <f>教科書掲載表!AI25</f>
        <v>4</v>
      </c>
      <c r="M168">
        <f>教科書掲載表!AJ25</f>
        <v>85</v>
      </c>
      <c r="R168">
        <f t="shared" ref="R168:R210" si="118">S168-$R$165</f>
        <v>-32</v>
      </c>
      <c r="S168">
        <f>教科書掲載表!A36</f>
        <v>6</v>
      </c>
      <c r="Z168">
        <f t="shared" si="90"/>
        <v>39</v>
      </c>
      <c r="AA168">
        <f>教科書掲載表!A142</f>
        <v>50</v>
      </c>
    </row>
    <row r="169" spans="1:31" x14ac:dyDescent="0.4">
      <c r="A169">
        <f t="shared" si="80"/>
        <v>244</v>
      </c>
      <c r="B169">
        <f t="shared" ref="B169" si="119">B104</f>
        <v>250</v>
      </c>
      <c r="F169">
        <f t="shared" si="116"/>
        <v>-3</v>
      </c>
      <c r="G169">
        <f>教科書掲載表!AG26</f>
        <v>5</v>
      </c>
      <c r="H169">
        <f>教科書掲載表!AH26</f>
        <v>10</v>
      </c>
      <c r="K169">
        <f t="shared" si="117"/>
        <v>-3</v>
      </c>
      <c r="L169">
        <f>教科書掲載表!AI26</f>
        <v>5</v>
      </c>
      <c r="M169">
        <f>教科書掲載表!AJ26</f>
        <v>95</v>
      </c>
      <c r="R169">
        <f t="shared" si="118"/>
        <v>-31</v>
      </c>
      <c r="S169">
        <f>教科書掲載表!A37</f>
        <v>7</v>
      </c>
    </row>
    <row r="170" spans="1:31" x14ac:dyDescent="0.4">
      <c r="A170">
        <f t="shared" si="80"/>
        <v>309</v>
      </c>
      <c r="B170">
        <f t="shared" ref="B170" si="120">B105</f>
        <v>315</v>
      </c>
      <c r="F170">
        <f t="shared" si="116"/>
        <v>-2</v>
      </c>
      <c r="G170">
        <f>教科書掲載表!AG27</f>
        <v>6</v>
      </c>
      <c r="H170">
        <f>教科書掲載表!AH27</f>
        <v>112</v>
      </c>
      <c r="K170">
        <f t="shared" si="117"/>
        <v>-2</v>
      </c>
      <c r="L170">
        <f>教科書掲載表!AI27</f>
        <v>6</v>
      </c>
      <c r="M170">
        <f>教科書掲載表!AJ27</f>
        <v>105</v>
      </c>
      <c r="R170">
        <f t="shared" si="118"/>
        <v>-30</v>
      </c>
      <c r="S170">
        <f>教科書掲載表!A38</f>
        <v>8</v>
      </c>
    </row>
    <row r="171" spans="1:31" x14ac:dyDescent="0.4">
      <c r="A171">
        <f t="shared" si="80"/>
        <v>394</v>
      </c>
      <c r="B171">
        <f t="shared" ref="B171" si="121">B106</f>
        <v>400</v>
      </c>
      <c r="F171">
        <f t="shared" si="116"/>
        <v>0</v>
      </c>
      <c r="G171">
        <f>教科書掲載表!AG28</f>
        <v>8</v>
      </c>
      <c r="H171">
        <f>教科書掲載表!AH28</f>
        <v>125</v>
      </c>
      <c r="K171">
        <f t="shared" si="117"/>
        <v>0</v>
      </c>
      <c r="L171">
        <f>教科書掲載表!AI28</f>
        <v>8</v>
      </c>
      <c r="M171">
        <f>教科書掲載表!AJ28</f>
        <v>120</v>
      </c>
      <c r="R171">
        <f t="shared" si="118"/>
        <v>-29</v>
      </c>
      <c r="S171">
        <f>教科書掲載表!A39</f>
        <v>9</v>
      </c>
    </row>
    <row r="172" spans="1:31" x14ac:dyDescent="0.4">
      <c r="A172">
        <f t="shared" si="80"/>
        <v>494</v>
      </c>
      <c r="B172">
        <f t="shared" ref="B172" si="122">B107</f>
        <v>500</v>
      </c>
      <c r="F172">
        <f t="shared" si="116"/>
        <v>2</v>
      </c>
      <c r="G172">
        <f>教科書掲載表!AG29</f>
        <v>10</v>
      </c>
      <c r="H172">
        <f>教科書掲載表!AH29</f>
        <v>140</v>
      </c>
      <c r="K172">
        <f t="shared" si="117"/>
        <v>2</v>
      </c>
      <c r="L172">
        <f>教科書掲載表!AI29</f>
        <v>10</v>
      </c>
      <c r="M172">
        <f>教科書掲載表!AJ29</f>
        <v>130</v>
      </c>
      <c r="R172">
        <f t="shared" si="118"/>
        <v>-28</v>
      </c>
      <c r="S172">
        <f>教科書掲載表!A40</f>
        <v>10</v>
      </c>
    </row>
    <row r="173" spans="1:31" x14ac:dyDescent="0.4">
      <c r="A173">
        <f t="shared" si="80"/>
        <v>624</v>
      </c>
      <c r="B173">
        <f t="shared" ref="B173" si="123">B108</f>
        <v>630</v>
      </c>
      <c r="F173">
        <f t="shared" si="116"/>
        <v>4</v>
      </c>
      <c r="G173">
        <f>教科書掲載表!AG30</f>
        <v>12</v>
      </c>
      <c r="H173">
        <f>教科書掲載表!AH30</f>
        <v>180</v>
      </c>
      <c r="K173">
        <f t="shared" si="117"/>
        <v>4</v>
      </c>
      <c r="L173">
        <f>教科書掲載表!AI30</f>
        <v>12</v>
      </c>
      <c r="M173">
        <f>教科書掲載表!AJ30</f>
        <v>160</v>
      </c>
      <c r="R173">
        <f t="shared" si="118"/>
        <v>-27</v>
      </c>
      <c r="S173">
        <f>教科書掲載表!A41</f>
        <v>11</v>
      </c>
    </row>
    <row r="174" spans="1:31" x14ac:dyDescent="0.4">
      <c r="A174">
        <f t="shared" si="80"/>
        <v>794</v>
      </c>
      <c r="B174">
        <f t="shared" ref="B174" si="124">B109</f>
        <v>800</v>
      </c>
      <c r="F174">
        <f t="shared" si="116"/>
        <v>8</v>
      </c>
      <c r="G174">
        <f>教科書掲載表!AG31</f>
        <v>16</v>
      </c>
      <c r="H174">
        <f>教科書掲載表!AH31</f>
        <v>212</v>
      </c>
      <c r="R174">
        <f t="shared" si="118"/>
        <v>-26</v>
      </c>
      <c r="S174">
        <f>教科書掲載表!A42</f>
        <v>12</v>
      </c>
    </row>
    <row r="175" spans="1:31" x14ac:dyDescent="0.4">
      <c r="A175">
        <f t="shared" si="80"/>
        <v>994</v>
      </c>
      <c r="B175">
        <f t="shared" ref="B175" si="125">B110</f>
        <v>1000</v>
      </c>
      <c r="R175">
        <f t="shared" si="118"/>
        <v>-25</v>
      </c>
      <c r="S175">
        <f>教科書掲載表!A43</f>
        <v>13</v>
      </c>
    </row>
    <row r="176" spans="1:31" x14ac:dyDescent="0.4">
      <c r="A176">
        <f t="shared" si="80"/>
        <v>1244</v>
      </c>
      <c r="B176">
        <f t="shared" ref="B176" si="126">B111</f>
        <v>1250</v>
      </c>
      <c r="F176" t="s">
        <v>823</v>
      </c>
      <c r="G176" t="s">
        <v>824</v>
      </c>
      <c r="H176" s="3" t="s">
        <v>825</v>
      </c>
      <c r="R176">
        <f t="shared" si="118"/>
        <v>-22</v>
      </c>
      <c r="S176">
        <f>教科書掲載表!A44</f>
        <v>16</v>
      </c>
    </row>
    <row r="177" spans="1:19" x14ac:dyDescent="0.4">
      <c r="A177">
        <f t="shared" si="80"/>
        <v>1594</v>
      </c>
      <c r="B177">
        <f t="shared" ref="B177" si="127">B112</f>
        <v>1600</v>
      </c>
      <c r="F177">
        <f>MAX(I165,N165)</f>
        <v>62.5</v>
      </c>
      <c r="G177">
        <f>ROUNDDOWN(F177,-1)</f>
        <v>60</v>
      </c>
      <c r="H177">
        <f>G177+20</f>
        <v>80</v>
      </c>
      <c r="R177">
        <f t="shared" si="118"/>
        <v>-19</v>
      </c>
      <c r="S177">
        <f>教科書掲載表!A45</f>
        <v>19</v>
      </c>
    </row>
    <row r="178" spans="1:19" x14ac:dyDescent="0.4">
      <c r="A178">
        <f t="shared" si="80"/>
        <v>1994</v>
      </c>
      <c r="B178">
        <f t="shared" ref="B178" si="128">B113</f>
        <v>2000</v>
      </c>
      <c r="R178">
        <f t="shared" si="118"/>
        <v>-18</v>
      </c>
      <c r="S178">
        <f>教科書掲載表!A46</f>
        <v>20</v>
      </c>
    </row>
    <row r="179" spans="1:19" x14ac:dyDescent="0.4">
      <c r="A179">
        <f t="shared" si="80"/>
        <v>2494</v>
      </c>
      <c r="B179">
        <f t="shared" ref="B179" si="129">B114</f>
        <v>2500</v>
      </c>
      <c r="F179" t="s">
        <v>41</v>
      </c>
      <c r="G179" t="s">
        <v>780</v>
      </c>
      <c r="H179" t="s">
        <v>59</v>
      </c>
      <c r="R179">
        <f t="shared" si="118"/>
        <v>-16</v>
      </c>
      <c r="S179">
        <f>教科書掲載表!A47</f>
        <v>22</v>
      </c>
    </row>
    <row r="180" spans="1:19" x14ac:dyDescent="0.4">
      <c r="A180">
        <f t="shared" si="80"/>
        <v>3144</v>
      </c>
      <c r="B180">
        <f t="shared" ref="B180" si="130">B115</f>
        <v>3150</v>
      </c>
      <c r="F180">
        <f>'3章'!D17</f>
        <v>12.25</v>
      </c>
      <c r="G180">
        <f>SMALL(F182:F186,COUNTIF(F182:F186,"&lt;=0")+1)</f>
        <v>2.75</v>
      </c>
      <c r="H180">
        <f>VLOOKUP(G180,F182:H186,3,FALSE)</f>
        <v>12</v>
      </c>
      <c r="R180">
        <f t="shared" si="118"/>
        <v>-14</v>
      </c>
      <c r="S180">
        <f>教科書掲載表!A48</f>
        <v>24</v>
      </c>
    </row>
    <row r="181" spans="1:19" x14ac:dyDescent="0.4">
      <c r="A181">
        <f t="shared" si="80"/>
        <v>3994</v>
      </c>
      <c r="B181">
        <f t="shared" ref="B181" si="131">B116</f>
        <v>4000</v>
      </c>
      <c r="F181" t="s">
        <v>786</v>
      </c>
      <c r="G181" t="s">
        <v>42</v>
      </c>
      <c r="H181" t="s">
        <v>768</v>
      </c>
      <c r="R181">
        <f t="shared" si="118"/>
        <v>-13</v>
      </c>
      <c r="S181">
        <f>教科書掲載表!A49</f>
        <v>25</v>
      </c>
    </row>
    <row r="182" spans="1:19" x14ac:dyDescent="0.4">
      <c r="A182">
        <f t="shared" si="80"/>
        <v>4994</v>
      </c>
      <c r="B182">
        <f t="shared" ref="B182" si="132">B117</f>
        <v>5000</v>
      </c>
      <c r="F182">
        <f>G182-$F$180</f>
        <v>-7.25</v>
      </c>
      <c r="G182">
        <f>教科書掲載表!AG36</f>
        <v>5</v>
      </c>
      <c r="H182">
        <f>教科書掲載表!AH36</f>
        <v>7</v>
      </c>
      <c r="R182">
        <f t="shared" si="118"/>
        <v>-10</v>
      </c>
      <c r="S182">
        <f>教科書掲載表!A50</f>
        <v>28</v>
      </c>
    </row>
    <row r="183" spans="1:19" x14ac:dyDescent="0.4">
      <c r="A183">
        <f t="shared" si="80"/>
        <v>6294</v>
      </c>
      <c r="B183">
        <f t="shared" ref="B183" si="133">B118</f>
        <v>6300</v>
      </c>
      <c r="F183">
        <f t="shared" ref="F183:F186" si="134">G183-$F$180</f>
        <v>-4.75</v>
      </c>
      <c r="G183">
        <f>教科書掲載表!AG37</f>
        <v>7.5</v>
      </c>
      <c r="H183">
        <f>教科書掲載表!AH37</f>
        <v>8</v>
      </c>
      <c r="R183">
        <f t="shared" si="118"/>
        <v>-8</v>
      </c>
      <c r="S183">
        <f>教科書掲載表!A51</f>
        <v>30</v>
      </c>
    </row>
    <row r="184" spans="1:19" x14ac:dyDescent="0.4">
      <c r="A184">
        <f t="shared" si="80"/>
        <v>7994</v>
      </c>
      <c r="B184">
        <f t="shared" ref="B184" si="135">B119</f>
        <v>8000</v>
      </c>
      <c r="F184">
        <f t="shared" si="134"/>
        <v>-2.25</v>
      </c>
      <c r="G184">
        <f>教科書掲載表!AG38</f>
        <v>10</v>
      </c>
      <c r="H184">
        <f>教科書掲載表!AH38</f>
        <v>8</v>
      </c>
      <c r="R184">
        <f t="shared" si="118"/>
        <v>-6</v>
      </c>
      <c r="S184">
        <f>教科書掲載表!A52</f>
        <v>32</v>
      </c>
    </row>
    <row r="185" spans="1:19" x14ac:dyDescent="0.4">
      <c r="A185">
        <f t="shared" si="80"/>
        <v>9994</v>
      </c>
      <c r="B185">
        <f t="shared" ref="B185" si="136">B120</f>
        <v>10000</v>
      </c>
      <c r="F185">
        <f t="shared" si="134"/>
        <v>2.75</v>
      </c>
      <c r="G185">
        <f>教科書掲載表!AG39</f>
        <v>15</v>
      </c>
      <c r="H185">
        <f>教科書掲載表!AH39</f>
        <v>12</v>
      </c>
      <c r="R185">
        <f t="shared" si="118"/>
        <v>-2</v>
      </c>
      <c r="S185">
        <f>教科書掲載表!A53</f>
        <v>36</v>
      </c>
    </row>
    <row r="186" spans="1:19" x14ac:dyDescent="0.4">
      <c r="A186">
        <f t="shared" si="80"/>
        <v>12494</v>
      </c>
      <c r="B186">
        <f t="shared" ref="B186" si="137">B121</f>
        <v>12500</v>
      </c>
      <c r="F186">
        <f t="shared" si="134"/>
        <v>7.75</v>
      </c>
      <c r="G186">
        <f>教科書掲載表!AG40</f>
        <v>20</v>
      </c>
      <c r="H186">
        <f>教科書掲載表!AH40</f>
        <v>12</v>
      </c>
      <c r="R186">
        <f t="shared" si="118"/>
        <v>0</v>
      </c>
      <c r="S186">
        <f>教科書掲載表!A54</f>
        <v>38</v>
      </c>
    </row>
    <row r="187" spans="1:19" x14ac:dyDescent="0.4">
      <c r="A187">
        <f t="shared" si="80"/>
        <v>15994</v>
      </c>
      <c r="B187">
        <f t="shared" ref="B187" si="138">B122</f>
        <v>16000</v>
      </c>
      <c r="R187">
        <f t="shared" si="118"/>
        <v>4</v>
      </c>
      <c r="S187">
        <f>教科書掲載表!A55</f>
        <v>42</v>
      </c>
    </row>
    <row r="188" spans="1:19" x14ac:dyDescent="0.4">
      <c r="A188">
        <f t="shared" si="80"/>
        <v>19994</v>
      </c>
      <c r="B188">
        <f t="shared" ref="B188" si="139">B123</f>
        <v>20000</v>
      </c>
      <c r="R188">
        <f t="shared" si="118"/>
        <v>8</v>
      </c>
      <c r="S188">
        <f>教科書掲載表!A56</f>
        <v>46</v>
      </c>
    </row>
    <row r="189" spans="1:19" x14ac:dyDescent="0.4">
      <c r="A189">
        <f t="shared" si="80"/>
        <v>24994</v>
      </c>
      <c r="B189">
        <f t="shared" ref="B189" si="140">B124</f>
        <v>25000</v>
      </c>
      <c r="R189">
        <f t="shared" si="118"/>
        <v>10</v>
      </c>
      <c r="S189">
        <f>教科書掲載表!A57</f>
        <v>48</v>
      </c>
    </row>
    <row r="190" spans="1:19" x14ac:dyDescent="0.4">
      <c r="A190">
        <f t="shared" si="80"/>
        <v>31494</v>
      </c>
      <c r="B190">
        <f t="shared" ref="B190" si="141">B125</f>
        <v>31500</v>
      </c>
      <c r="R190">
        <f t="shared" si="118"/>
        <v>12</v>
      </c>
      <c r="S190">
        <f>教科書掲載表!A58</f>
        <v>50</v>
      </c>
    </row>
    <row r="191" spans="1:19" x14ac:dyDescent="0.4">
      <c r="A191">
        <f t="shared" si="80"/>
        <v>39994</v>
      </c>
      <c r="B191">
        <f t="shared" ref="B191" si="142">B126</f>
        <v>40000</v>
      </c>
      <c r="R191">
        <f t="shared" si="118"/>
        <v>17</v>
      </c>
      <c r="S191">
        <f>教科書掲載表!A59</f>
        <v>55</v>
      </c>
    </row>
    <row r="192" spans="1:19" x14ac:dyDescent="0.4">
      <c r="A192">
        <f t="shared" si="80"/>
        <v>49994</v>
      </c>
      <c r="B192">
        <f t="shared" ref="B192" si="143">B127</f>
        <v>50000</v>
      </c>
      <c r="R192">
        <f t="shared" si="118"/>
        <v>18</v>
      </c>
      <c r="S192">
        <f>教科書掲載表!A60</f>
        <v>56</v>
      </c>
    </row>
    <row r="193" spans="1:19" x14ac:dyDescent="0.4">
      <c r="A193">
        <f t="shared" si="80"/>
        <v>62994</v>
      </c>
      <c r="B193">
        <f t="shared" ref="B193" si="144">B128</f>
        <v>63000</v>
      </c>
      <c r="R193">
        <f t="shared" si="118"/>
        <v>22</v>
      </c>
      <c r="S193">
        <f>教科書掲載表!A61</f>
        <v>60</v>
      </c>
    </row>
    <row r="194" spans="1:19" x14ac:dyDescent="0.4">
      <c r="A194">
        <f t="shared" si="80"/>
        <v>79994</v>
      </c>
      <c r="B194">
        <f t="shared" ref="B194" si="145">B129</f>
        <v>80000</v>
      </c>
      <c r="R194">
        <f t="shared" si="118"/>
        <v>26</v>
      </c>
      <c r="S194">
        <f>教科書掲載表!A62</f>
        <v>64</v>
      </c>
    </row>
    <row r="195" spans="1:19" x14ac:dyDescent="0.4">
      <c r="A195">
        <f t="shared" si="80"/>
        <v>99994</v>
      </c>
      <c r="B195">
        <f t="shared" ref="B195" si="146">B130</f>
        <v>100000</v>
      </c>
      <c r="R195">
        <f t="shared" si="118"/>
        <v>27</v>
      </c>
      <c r="S195">
        <f>教科書掲載表!A63</f>
        <v>65</v>
      </c>
    </row>
    <row r="196" spans="1:19" x14ac:dyDescent="0.4">
      <c r="R196">
        <f t="shared" si="118"/>
        <v>32</v>
      </c>
      <c r="S196">
        <f>教科書掲載表!A64</f>
        <v>70</v>
      </c>
    </row>
    <row r="197" spans="1:19" x14ac:dyDescent="0.4">
      <c r="A197" t="str">
        <f>'例題7.5'!D16</f>
        <v>d</v>
      </c>
      <c r="B197" t="s">
        <v>780</v>
      </c>
      <c r="C197" t="s">
        <v>59</v>
      </c>
      <c r="E197" t="str">
        <f>B歯車!D1</f>
        <v>hr</v>
      </c>
      <c r="F197" t="s">
        <v>780</v>
      </c>
      <c r="G197" t="s">
        <v>59</v>
      </c>
      <c r="I197" t="str">
        <f>B歯車!D4</f>
        <v>a</v>
      </c>
      <c r="J197" t="s">
        <v>780</v>
      </c>
      <c r="K197" t="s">
        <v>59</v>
      </c>
      <c r="R197">
        <f t="shared" si="118"/>
        <v>37</v>
      </c>
      <c r="S197">
        <f>教科書掲載表!A65</f>
        <v>75</v>
      </c>
    </row>
    <row r="198" spans="1:19" x14ac:dyDescent="0.4">
      <c r="A198">
        <f>'例題7.5'!D17</f>
        <v>9.5299999999999994</v>
      </c>
      <c r="B198">
        <f>SMALL(A200:A340,COUNTIF(A200:A340,"&lt;=0")+1)</f>
        <v>0.47000000000000064</v>
      </c>
      <c r="C198">
        <f>VLOOKUP(B198,A200:B340,2,FALSE)</f>
        <v>10</v>
      </c>
      <c r="E198">
        <f>B歯車!D3</f>
        <v>17.59</v>
      </c>
      <c r="F198">
        <f>SMALL(E200:E340,COUNTIF(E200:E340,"&lt;=0")+1)</f>
        <v>0.41000000000000014</v>
      </c>
      <c r="G198">
        <f>VLOOKUP(F198,E200:F340,2,FALSE)</f>
        <v>18</v>
      </c>
      <c r="I198">
        <f>ROUNDDOWN(B歯車!D5,0)</f>
        <v>12</v>
      </c>
      <c r="J198">
        <f>SMALL(I200:I340,COUNTIF(I200:I340,"&lt;=0")+1)</f>
        <v>0.5</v>
      </c>
      <c r="K198">
        <f>VLOOKUP(J198,I200:J340,2,FALSE)</f>
        <v>12.5</v>
      </c>
      <c r="R198">
        <f t="shared" si="118"/>
        <v>42</v>
      </c>
      <c r="S198">
        <f>教科書掲載表!A66</f>
        <v>80</v>
      </c>
    </row>
    <row r="199" spans="1:19" x14ac:dyDescent="0.4">
      <c r="A199" t="s">
        <v>786</v>
      </c>
      <c r="B199" t="s">
        <v>660</v>
      </c>
      <c r="E199" t="str">
        <f>A199</f>
        <v>差</v>
      </c>
      <c r="F199" t="str">
        <f>B199</f>
        <v>R20</v>
      </c>
      <c r="I199" t="str">
        <f>E199</f>
        <v>差</v>
      </c>
      <c r="J199" t="str">
        <f>F199</f>
        <v>R20</v>
      </c>
      <c r="R199">
        <f t="shared" si="118"/>
        <v>47</v>
      </c>
      <c r="S199">
        <f>教科書掲載表!A67</f>
        <v>85</v>
      </c>
    </row>
    <row r="200" spans="1:19" x14ac:dyDescent="0.4">
      <c r="A200">
        <f>B200-$A$198</f>
        <v>-9.43</v>
      </c>
      <c r="B200">
        <f>教科書付表!C3</f>
        <v>0.1</v>
      </c>
      <c r="E200">
        <f>F200-$E$198</f>
        <v>-17.489999999999998</v>
      </c>
      <c r="F200">
        <f>B200</f>
        <v>0.1</v>
      </c>
      <c r="I200">
        <f>J200-$I$198</f>
        <v>-11.9</v>
      </c>
      <c r="J200">
        <f t="shared" ref="J200:J263" si="147">F200</f>
        <v>0.1</v>
      </c>
      <c r="R200">
        <f t="shared" si="118"/>
        <v>52</v>
      </c>
      <c r="S200">
        <f>教科書掲載表!A68</f>
        <v>90</v>
      </c>
    </row>
    <row r="201" spans="1:19" x14ac:dyDescent="0.4">
      <c r="A201">
        <f t="shared" ref="A201:A264" si="148">B201-$A$198</f>
        <v>-9.4179999999999993</v>
      </c>
      <c r="B201">
        <f>教科書付表!C5</f>
        <v>0.11200000000000002</v>
      </c>
      <c r="E201">
        <f t="shared" ref="E201:E264" si="149">F201-$E$198</f>
        <v>-17.478000000000002</v>
      </c>
      <c r="F201">
        <f t="shared" ref="F201:F264" si="150">B201</f>
        <v>0.11200000000000002</v>
      </c>
      <c r="I201">
        <f t="shared" ref="I201:I264" si="151">J201-$I$198</f>
        <v>-11.888</v>
      </c>
      <c r="J201">
        <f t="shared" si="147"/>
        <v>0.11200000000000002</v>
      </c>
      <c r="R201">
        <f t="shared" si="118"/>
        <v>57</v>
      </c>
      <c r="S201">
        <f>教科書掲載表!A69</f>
        <v>95</v>
      </c>
    </row>
    <row r="202" spans="1:19" x14ac:dyDescent="0.4">
      <c r="A202">
        <f t="shared" si="148"/>
        <v>-9.4049999999999994</v>
      </c>
      <c r="B202">
        <f>教科書付表!C7</f>
        <v>0.125</v>
      </c>
      <c r="E202">
        <f t="shared" si="149"/>
        <v>-17.465</v>
      </c>
      <c r="F202">
        <f t="shared" si="150"/>
        <v>0.125</v>
      </c>
      <c r="I202">
        <f t="shared" si="151"/>
        <v>-11.875</v>
      </c>
      <c r="J202">
        <f t="shared" si="147"/>
        <v>0.125</v>
      </c>
      <c r="R202">
        <f t="shared" si="118"/>
        <v>62</v>
      </c>
      <c r="S202">
        <f>教科書掲載表!A70</f>
        <v>100</v>
      </c>
    </row>
    <row r="203" spans="1:19" x14ac:dyDescent="0.4">
      <c r="A203">
        <f t="shared" si="148"/>
        <v>-9.3899999999999988</v>
      </c>
      <c r="B203">
        <f>教科書付表!C9</f>
        <v>0.13999999999999999</v>
      </c>
      <c r="E203">
        <f t="shared" si="149"/>
        <v>-17.45</v>
      </c>
      <c r="F203">
        <f t="shared" si="150"/>
        <v>0.13999999999999999</v>
      </c>
      <c r="I203">
        <f t="shared" si="151"/>
        <v>-11.86</v>
      </c>
      <c r="J203">
        <f t="shared" si="147"/>
        <v>0.13999999999999999</v>
      </c>
      <c r="R203">
        <f t="shared" si="118"/>
        <v>72</v>
      </c>
      <c r="S203">
        <f>教科書掲載表!A71</f>
        <v>110</v>
      </c>
    </row>
    <row r="204" spans="1:19" x14ac:dyDescent="0.4">
      <c r="A204">
        <f t="shared" si="148"/>
        <v>-9.3699999999999992</v>
      </c>
      <c r="B204">
        <f>教科書付表!C11</f>
        <v>0.16</v>
      </c>
      <c r="E204">
        <f t="shared" si="149"/>
        <v>-17.43</v>
      </c>
      <c r="F204">
        <f t="shared" si="150"/>
        <v>0.16</v>
      </c>
      <c r="I204">
        <f t="shared" si="151"/>
        <v>-11.84</v>
      </c>
      <c r="J204">
        <f t="shared" si="147"/>
        <v>0.16</v>
      </c>
      <c r="R204">
        <f t="shared" si="118"/>
        <v>82</v>
      </c>
      <c r="S204">
        <f>教科書掲載表!A72</f>
        <v>120</v>
      </c>
    </row>
    <row r="205" spans="1:19" x14ac:dyDescent="0.4">
      <c r="A205">
        <f t="shared" si="148"/>
        <v>-9.35</v>
      </c>
      <c r="B205">
        <f>教科書付表!C13</f>
        <v>0.18</v>
      </c>
      <c r="E205">
        <f t="shared" si="149"/>
        <v>-17.41</v>
      </c>
      <c r="F205">
        <f t="shared" si="150"/>
        <v>0.18</v>
      </c>
      <c r="I205">
        <f t="shared" si="151"/>
        <v>-11.82</v>
      </c>
      <c r="J205">
        <f t="shared" si="147"/>
        <v>0.18</v>
      </c>
      <c r="R205">
        <f t="shared" si="118"/>
        <v>92</v>
      </c>
      <c r="S205">
        <f>教科書掲載表!A73</f>
        <v>130</v>
      </c>
    </row>
    <row r="206" spans="1:19" x14ac:dyDescent="0.4">
      <c r="A206">
        <f t="shared" si="148"/>
        <v>-9.33</v>
      </c>
      <c r="B206">
        <f>教科書付表!C15</f>
        <v>0.2</v>
      </c>
      <c r="E206">
        <f t="shared" si="149"/>
        <v>-17.39</v>
      </c>
      <c r="F206">
        <f t="shared" si="150"/>
        <v>0.2</v>
      </c>
      <c r="I206">
        <f t="shared" si="151"/>
        <v>-11.8</v>
      </c>
      <c r="J206">
        <f t="shared" si="147"/>
        <v>0.2</v>
      </c>
      <c r="R206">
        <f t="shared" si="118"/>
        <v>102</v>
      </c>
      <c r="S206">
        <f>教科書掲載表!A74</f>
        <v>140</v>
      </c>
    </row>
    <row r="207" spans="1:19" x14ac:dyDescent="0.4">
      <c r="A207">
        <f t="shared" si="148"/>
        <v>-9.3059999999999992</v>
      </c>
      <c r="B207">
        <f>教科書付表!C17</f>
        <v>0.22400000000000003</v>
      </c>
      <c r="E207">
        <f t="shared" si="149"/>
        <v>-17.366</v>
      </c>
      <c r="F207">
        <f t="shared" si="150"/>
        <v>0.22400000000000003</v>
      </c>
      <c r="I207">
        <f t="shared" si="151"/>
        <v>-11.776</v>
      </c>
      <c r="J207">
        <f t="shared" si="147"/>
        <v>0.22400000000000003</v>
      </c>
      <c r="R207">
        <f t="shared" si="118"/>
        <v>112</v>
      </c>
      <c r="S207">
        <f>教科書掲載表!A75</f>
        <v>150</v>
      </c>
    </row>
    <row r="208" spans="1:19" x14ac:dyDescent="0.4">
      <c r="A208">
        <f t="shared" si="148"/>
        <v>-9.2799999999999994</v>
      </c>
      <c r="B208">
        <f>教科書付表!C19</f>
        <v>0.25</v>
      </c>
      <c r="E208">
        <f t="shared" si="149"/>
        <v>-17.34</v>
      </c>
      <c r="F208">
        <f t="shared" si="150"/>
        <v>0.25</v>
      </c>
      <c r="I208">
        <f t="shared" si="151"/>
        <v>-11.75</v>
      </c>
      <c r="J208">
        <f t="shared" si="147"/>
        <v>0.25</v>
      </c>
      <c r="R208">
        <f t="shared" si="118"/>
        <v>122</v>
      </c>
      <c r="S208">
        <f>教科書掲載表!A76</f>
        <v>160</v>
      </c>
    </row>
    <row r="209" spans="1:19" x14ac:dyDescent="0.4">
      <c r="A209">
        <f t="shared" si="148"/>
        <v>-9.25</v>
      </c>
      <c r="B209">
        <f>教科書付表!C21</f>
        <v>0.27999999999999997</v>
      </c>
      <c r="E209">
        <f t="shared" si="149"/>
        <v>-17.309999999999999</v>
      </c>
      <c r="F209">
        <f t="shared" si="150"/>
        <v>0.27999999999999997</v>
      </c>
      <c r="I209">
        <f t="shared" si="151"/>
        <v>-11.72</v>
      </c>
      <c r="J209">
        <f t="shared" si="147"/>
        <v>0.27999999999999997</v>
      </c>
      <c r="R209">
        <f t="shared" si="118"/>
        <v>142</v>
      </c>
      <c r="S209">
        <f>教科書掲載表!A77</f>
        <v>180</v>
      </c>
    </row>
    <row r="210" spans="1:19" x14ac:dyDescent="0.4">
      <c r="A210">
        <f t="shared" si="148"/>
        <v>-9.2149999999999999</v>
      </c>
      <c r="B210">
        <f>教科書付表!C23</f>
        <v>0.315</v>
      </c>
      <c r="E210">
        <f t="shared" si="149"/>
        <v>-17.274999999999999</v>
      </c>
      <c r="F210">
        <f t="shared" si="150"/>
        <v>0.315</v>
      </c>
      <c r="I210">
        <f t="shared" si="151"/>
        <v>-11.685</v>
      </c>
      <c r="J210">
        <f t="shared" si="147"/>
        <v>0.315</v>
      </c>
      <c r="R210">
        <f t="shared" si="118"/>
        <v>162</v>
      </c>
      <c r="S210">
        <f>教科書掲載表!A78</f>
        <v>200</v>
      </c>
    </row>
    <row r="211" spans="1:19" x14ac:dyDescent="0.4">
      <c r="A211">
        <f t="shared" si="148"/>
        <v>-9.1749999999999989</v>
      </c>
      <c r="B211">
        <f>教科書付表!C25</f>
        <v>0.35499999999999998</v>
      </c>
      <c r="E211">
        <f t="shared" si="149"/>
        <v>-17.234999999999999</v>
      </c>
      <c r="F211">
        <f t="shared" si="150"/>
        <v>0.35499999999999998</v>
      </c>
      <c r="I211">
        <f t="shared" si="151"/>
        <v>-11.645</v>
      </c>
      <c r="J211">
        <f t="shared" si="147"/>
        <v>0.35499999999999998</v>
      </c>
    </row>
    <row r="212" spans="1:19" x14ac:dyDescent="0.4">
      <c r="A212">
        <f t="shared" si="148"/>
        <v>-9.129999999999999</v>
      </c>
      <c r="B212">
        <f>教科書付表!C27</f>
        <v>0.4</v>
      </c>
      <c r="E212">
        <f t="shared" si="149"/>
        <v>-17.190000000000001</v>
      </c>
      <c r="F212">
        <f t="shared" si="150"/>
        <v>0.4</v>
      </c>
      <c r="I212">
        <f t="shared" si="151"/>
        <v>-11.6</v>
      </c>
      <c r="J212">
        <f t="shared" si="147"/>
        <v>0.4</v>
      </c>
    </row>
    <row r="213" spans="1:19" x14ac:dyDescent="0.4">
      <c r="A213">
        <f t="shared" si="148"/>
        <v>-9.08</v>
      </c>
      <c r="B213">
        <f>教科書付表!C29</f>
        <v>0.45</v>
      </c>
      <c r="E213">
        <f t="shared" si="149"/>
        <v>-17.14</v>
      </c>
      <c r="F213">
        <f t="shared" si="150"/>
        <v>0.45</v>
      </c>
      <c r="I213">
        <f t="shared" si="151"/>
        <v>-11.55</v>
      </c>
      <c r="J213">
        <f t="shared" si="147"/>
        <v>0.45</v>
      </c>
    </row>
    <row r="214" spans="1:19" x14ac:dyDescent="0.4">
      <c r="A214">
        <f t="shared" si="148"/>
        <v>-9.0299999999999994</v>
      </c>
      <c r="B214">
        <f>教科書付表!C31</f>
        <v>0.5</v>
      </c>
      <c r="E214">
        <f t="shared" si="149"/>
        <v>-17.09</v>
      </c>
      <c r="F214">
        <f t="shared" si="150"/>
        <v>0.5</v>
      </c>
      <c r="I214">
        <f t="shared" si="151"/>
        <v>-11.5</v>
      </c>
      <c r="J214">
        <f t="shared" si="147"/>
        <v>0.5</v>
      </c>
    </row>
    <row r="215" spans="1:19" x14ac:dyDescent="0.4">
      <c r="A215">
        <f t="shared" si="148"/>
        <v>-8.9699999999999989</v>
      </c>
      <c r="B215">
        <f>教科書付表!C33</f>
        <v>0.55999999999999994</v>
      </c>
      <c r="E215">
        <f t="shared" si="149"/>
        <v>-17.03</v>
      </c>
      <c r="F215">
        <f t="shared" si="150"/>
        <v>0.55999999999999994</v>
      </c>
      <c r="I215">
        <f t="shared" si="151"/>
        <v>-11.44</v>
      </c>
      <c r="J215">
        <f t="shared" si="147"/>
        <v>0.55999999999999994</v>
      </c>
    </row>
    <row r="216" spans="1:19" x14ac:dyDescent="0.4">
      <c r="A216">
        <f t="shared" si="148"/>
        <v>-8.8999999999999986</v>
      </c>
      <c r="B216">
        <f>教科書付表!C35</f>
        <v>0.63</v>
      </c>
      <c r="E216">
        <f t="shared" si="149"/>
        <v>-16.96</v>
      </c>
      <c r="F216">
        <f t="shared" si="150"/>
        <v>0.63</v>
      </c>
      <c r="I216">
        <f t="shared" si="151"/>
        <v>-11.37</v>
      </c>
      <c r="J216">
        <f t="shared" si="147"/>
        <v>0.63</v>
      </c>
    </row>
    <row r="217" spans="1:19" x14ac:dyDescent="0.4">
      <c r="A217">
        <f t="shared" si="148"/>
        <v>-8.82</v>
      </c>
      <c r="B217">
        <f>教科書付表!C37</f>
        <v>0.71</v>
      </c>
      <c r="E217">
        <f t="shared" si="149"/>
        <v>-16.88</v>
      </c>
      <c r="F217">
        <f t="shared" si="150"/>
        <v>0.71</v>
      </c>
      <c r="I217">
        <f t="shared" si="151"/>
        <v>-11.29</v>
      </c>
      <c r="J217">
        <f t="shared" si="147"/>
        <v>0.71</v>
      </c>
    </row>
    <row r="218" spans="1:19" x14ac:dyDescent="0.4">
      <c r="A218">
        <f t="shared" si="148"/>
        <v>-8.7299999999999986</v>
      </c>
      <c r="B218">
        <f>教科書付表!C39</f>
        <v>0.8</v>
      </c>
      <c r="E218">
        <f t="shared" si="149"/>
        <v>-16.79</v>
      </c>
      <c r="F218">
        <f t="shared" si="150"/>
        <v>0.8</v>
      </c>
      <c r="I218">
        <f t="shared" si="151"/>
        <v>-11.2</v>
      </c>
      <c r="J218">
        <f t="shared" si="147"/>
        <v>0.8</v>
      </c>
    </row>
    <row r="219" spans="1:19" x14ac:dyDescent="0.4">
      <c r="A219">
        <f t="shared" si="148"/>
        <v>-8.629999999999999</v>
      </c>
      <c r="B219">
        <f>教科書付表!C41</f>
        <v>0.9</v>
      </c>
      <c r="E219">
        <f t="shared" si="149"/>
        <v>-16.690000000000001</v>
      </c>
      <c r="F219">
        <f t="shared" si="150"/>
        <v>0.9</v>
      </c>
      <c r="I219">
        <f t="shared" si="151"/>
        <v>-11.1</v>
      </c>
      <c r="J219">
        <f t="shared" si="147"/>
        <v>0.9</v>
      </c>
    </row>
    <row r="220" spans="1:19" x14ac:dyDescent="0.4">
      <c r="A220">
        <f t="shared" si="148"/>
        <v>-8.5299999999999994</v>
      </c>
      <c r="B220">
        <f>B200*10</f>
        <v>1</v>
      </c>
      <c r="E220">
        <f t="shared" si="149"/>
        <v>-16.59</v>
      </c>
      <c r="F220">
        <f t="shared" si="150"/>
        <v>1</v>
      </c>
      <c r="I220">
        <f t="shared" si="151"/>
        <v>-11</v>
      </c>
      <c r="J220">
        <f t="shared" si="147"/>
        <v>1</v>
      </c>
    </row>
    <row r="221" spans="1:19" x14ac:dyDescent="0.4">
      <c r="A221">
        <f t="shared" si="148"/>
        <v>-8.41</v>
      </c>
      <c r="B221">
        <f t="shared" ref="B221:B284" si="152">B201*10</f>
        <v>1.1200000000000001</v>
      </c>
      <c r="E221">
        <f t="shared" si="149"/>
        <v>-16.47</v>
      </c>
      <c r="F221">
        <f t="shared" si="150"/>
        <v>1.1200000000000001</v>
      </c>
      <c r="I221">
        <f t="shared" si="151"/>
        <v>-10.879999999999999</v>
      </c>
      <c r="J221">
        <f t="shared" si="147"/>
        <v>1.1200000000000001</v>
      </c>
    </row>
    <row r="222" spans="1:19" x14ac:dyDescent="0.4">
      <c r="A222">
        <f t="shared" si="148"/>
        <v>-8.2799999999999994</v>
      </c>
      <c r="B222">
        <f t="shared" si="152"/>
        <v>1.25</v>
      </c>
      <c r="E222">
        <f t="shared" si="149"/>
        <v>-16.34</v>
      </c>
      <c r="F222">
        <f t="shared" si="150"/>
        <v>1.25</v>
      </c>
      <c r="I222">
        <f t="shared" si="151"/>
        <v>-10.75</v>
      </c>
      <c r="J222">
        <f t="shared" si="147"/>
        <v>1.25</v>
      </c>
    </row>
    <row r="223" spans="1:19" x14ac:dyDescent="0.4">
      <c r="A223">
        <f t="shared" si="148"/>
        <v>-8.129999999999999</v>
      </c>
      <c r="B223">
        <f t="shared" si="152"/>
        <v>1.4</v>
      </c>
      <c r="E223">
        <f t="shared" si="149"/>
        <v>-16.190000000000001</v>
      </c>
      <c r="F223">
        <f t="shared" si="150"/>
        <v>1.4</v>
      </c>
      <c r="I223">
        <f t="shared" si="151"/>
        <v>-10.6</v>
      </c>
      <c r="J223">
        <f t="shared" si="147"/>
        <v>1.4</v>
      </c>
    </row>
    <row r="224" spans="1:19" x14ac:dyDescent="0.4">
      <c r="A224">
        <f t="shared" si="148"/>
        <v>-7.93</v>
      </c>
      <c r="B224">
        <f t="shared" si="152"/>
        <v>1.6</v>
      </c>
      <c r="E224">
        <f t="shared" si="149"/>
        <v>-15.99</v>
      </c>
      <c r="F224">
        <f t="shared" si="150"/>
        <v>1.6</v>
      </c>
      <c r="I224">
        <f t="shared" si="151"/>
        <v>-10.4</v>
      </c>
      <c r="J224">
        <f t="shared" si="147"/>
        <v>1.6</v>
      </c>
    </row>
    <row r="225" spans="1:10" x14ac:dyDescent="0.4">
      <c r="A225">
        <f t="shared" si="148"/>
        <v>-7.7299999999999995</v>
      </c>
      <c r="B225">
        <f t="shared" si="152"/>
        <v>1.7999999999999998</v>
      </c>
      <c r="E225">
        <f t="shared" si="149"/>
        <v>-15.79</v>
      </c>
      <c r="F225">
        <f t="shared" si="150"/>
        <v>1.7999999999999998</v>
      </c>
      <c r="I225">
        <f t="shared" si="151"/>
        <v>-10.199999999999999</v>
      </c>
      <c r="J225">
        <f t="shared" si="147"/>
        <v>1.7999999999999998</v>
      </c>
    </row>
    <row r="226" spans="1:10" x14ac:dyDescent="0.4">
      <c r="A226">
        <f t="shared" si="148"/>
        <v>-7.5299999999999994</v>
      </c>
      <c r="B226">
        <f t="shared" si="152"/>
        <v>2</v>
      </c>
      <c r="E226">
        <f t="shared" si="149"/>
        <v>-15.59</v>
      </c>
      <c r="F226">
        <f t="shared" si="150"/>
        <v>2</v>
      </c>
      <c r="I226">
        <f t="shared" si="151"/>
        <v>-10</v>
      </c>
      <c r="J226">
        <f t="shared" si="147"/>
        <v>2</v>
      </c>
    </row>
    <row r="227" spans="1:10" x14ac:dyDescent="0.4">
      <c r="A227">
        <f t="shared" si="148"/>
        <v>-7.2899999999999991</v>
      </c>
      <c r="B227">
        <f t="shared" si="152"/>
        <v>2.2400000000000002</v>
      </c>
      <c r="E227">
        <f t="shared" si="149"/>
        <v>-15.35</v>
      </c>
      <c r="F227">
        <f t="shared" si="150"/>
        <v>2.2400000000000002</v>
      </c>
      <c r="I227">
        <f t="shared" si="151"/>
        <v>-9.76</v>
      </c>
      <c r="J227">
        <f t="shared" si="147"/>
        <v>2.2400000000000002</v>
      </c>
    </row>
    <row r="228" spans="1:10" x14ac:dyDescent="0.4">
      <c r="A228">
        <f t="shared" si="148"/>
        <v>-7.0299999999999994</v>
      </c>
      <c r="B228">
        <f t="shared" si="152"/>
        <v>2.5</v>
      </c>
      <c r="E228">
        <f t="shared" si="149"/>
        <v>-15.09</v>
      </c>
      <c r="F228">
        <f t="shared" si="150"/>
        <v>2.5</v>
      </c>
      <c r="I228">
        <f t="shared" si="151"/>
        <v>-9.5</v>
      </c>
      <c r="J228">
        <f t="shared" si="147"/>
        <v>2.5</v>
      </c>
    </row>
    <row r="229" spans="1:10" x14ac:dyDescent="0.4">
      <c r="A229">
        <f t="shared" si="148"/>
        <v>-6.7299999999999995</v>
      </c>
      <c r="B229">
        <f t="shared" si="152"/>
        <v>2.8</v>
      </c>
      <c r="E229">
        <f t="shared" si="149"/>
        <v>-14.79</v>
      </c>
      <c r="F229">
        <f t="shared" si="150"/>
        <v>2.8</v>
      </c>
      <c r="I229">
        <f t="shared" si="151"/>
        <v>-9.1999999999999993</v>
      </c>
      <c r="J229">
        <f t="shared" si="147"/>
        <v>2.8</v>
      </c>
    </row>
    <row r="230" spans="1:10" x14ac:dyDescent="0.4">
      <c r="A230">
        <f t="shared" si="148"/>
        <v>-6.379999999999999</v>
      </c>
      <c r="B230">
        <f t="shared" si="152"/>
        <v>3.15</v>
      </c>
      <c r="E230">
        <f t="shared" si="149"/>
        <v>-14.44</v>
      </c>
      <c r="F230">
        <f t="shared" si="150"/>
        <v>3.15</v>
      </c>
      <c r="I230">
        <f t="shared" si="151"/>
        <v>-8.85</v>
      </c>
      <c r="J230">
        <f t="shared" si="147"/>
        <v>3.15</v>
      </c>
    </row>
    <row r="231" spans="1:10" x14ac:dyDescent="0.4">
      <c r="A231">
        <f t="shared" si="148"/>
        <v>-5.9799999999999995</v>
      </c>
      <c r="B231">
        <f t="shared" si="152"/>
        <v>3.55</v>
      </c>
      <c r="E231">
        <f t="shared" si="149"/>
        <v>-14.04</v>
      </c>
      <c r="F231">
        <f t="shared" si="150"/>
        <v>3.55</v>
      </c>
      <c r="I231">
        <f t="shared" si="151"/>
        <v>-8.4499999999999993</v>
      </c>
      <c r="J231">
        <f t="shared" si="147"/>
        <v>3.55</v>
      </c>
    </row>
    <row r="232" spans="1:10" x14ac:dyDescent="0.4">
      <c r="A232">
        <f t="shared" si="148"/>
        <v>-5.5299999999999994</v>
      </c>
      <c r="B232">
        <f t="shared" si="152"/>
        <v>4</v>
      </c>
      <c r="E232">
        <f t="shared" si="149"/>
        <v>-13.59</v>
      </c>
      <c r="F232">
        <f t="shared" si="150"/>
        <v>4</v>
      </c>
      <c r="I232">
        <f t="shared" si="151"/>
        <v>-8</v>
      </c>
      <c r="J232">
        <f t="shared" si="147"/>
        <v>4</v>
      </c>
    </row>
    <row r="233" spans="1:10" x14ac:dyDescent="0.4">
      <c r="A233">
        <f t="shared" si="148"/>
        <v>-5.0299999999999994</v>
      </c>
      <c r="B233">
        <f t="shared" si="152"/>
        <v>4.5</v>
      </c>
      <c r="E233">
        <f t="shared" si="149"/>
        <v>-13.09</v>
      </c>
      <c r="F233">
        <f t="shared" si="150"/>
        <v>4.5</v>
      </c>
      <c r="I233">
        <f t="shared" si="151"/>
        <v>-7.5</v>
      </c>
      <c r="J233">
        <f t="shared" si="147"/>
        <v>4.5</v>
      </c>
    </row>
    <row r="234" spans="1:10" x14ac:dyDescent="0.4">
      <c r="A234">
        <f t="shared" si="148"/>
        <v>-4.5299999999999994</v>
      </c>
      <c r="B234">
        <f t="shared" si="152"/>
        <v>5</v>
      </c>
      <c r="E234">
        <f t="shared" si="149"/>
        <v>-12.59</v>
      </c>
      <c r="F234">
        <f t="shared" si="150"/>
        <v>5</v>
      </c>
      <c r="I234">
        <f t="shared" si="151"/>
        <v>-7</v>
      </c>
      <c r="J234">
        <f t="shared" si="147"/>
        <v>5</v>
      </c>
    </row>
    <row r="235" spans="1:10" x14ac:dyDescent="0.4">
      <c r="A235">
        <f t="shared" si="148"/>
        <v>-3.9299999999999997</v>
      </c>
      <c r="B235">
        <f t="shared" si="152"/>
        <v>5.6</v>
      </c>
      <c r="E235">
        <f t="shared" si="149"/>
        <v>-11.99</v>
      </c>
      <c r="F235">
        <f t="shared" si="150"/>
        <v>5.6</v>
      </c>
      <c r="I235">
        <f t="shared" si="151"/>
        <v>-6.4</v>
      </c>
      <c r="J235">
        <f t="shared" si="147"/>
        <v>5.6</v>
      </c>
    </row>
    <row r="236" spans="1:10" x14ac:dyDescent="0.4">
      <c r="A236">
        <f t="shared" si="148"/>
        <v>-3.2299999999999995</v>
      </c>
      <c r="B236">
        <f t="shared" si="152"/>
        <v>6.3</v>
      </c>
      <c r="E236">
        <f t="shared" si="149"/>
        <v>-11.29</v>
      </c>
      <c r="F236">
        <f t="shared" si="150"/>
        <v>6.3</v>
      </c>
      <c r="I236">
        <f t="shared" si="151"/>
        <v>-5.7</v>
      </c>
      <c r="J236">
        <f t="shared" si="147"/>
        <v>6.3</v>
      </c>
    </row>
    <row r="237" spans="1:10" x14ac:dyDescent="0.4">
      <c r="A237">
        <f t="shared" si="148"/>
        <v>-2.4299999999999997</v>
      </c>
      <c r="B237">
        <f t="shared" si="152"/>
        <v>7.1</v>
      </c>
      <c r="E237">
        <f t="shared" si="149"/>
        <v>-10.49</v>
      </c>
      <c r="F237">
        <f t="shared" si="150"/>
        <v>7.1</v>
      </c>
      <c r="I237">
        <f t="shared" si="151"/>
        <v>-4.9000000000000004</v>
      </c>
      <c r="J237">
        <f t="shared" si="147"/>
        <v>7.1</v>
      </c>
    </row>
    <row r="238" spans="1:10" x14ac:dyDescent="0.4">
      <c r="A238">
        <f t="shared" si="148"/>
        <v>-1.5299999999999994</v>
      </c>
      <c r="B238">
        <f t="shared" si="152"/>
        <v>8</v>
      </c>
      <c r="E238">
        <f t="shared" si="149"/>
        <v>-9.59</v>
      </c>
      <c r="F238">
        <f t="shared" si="150"/>
        <v>8</v>
      </c>
      <c r="I238">
        <f t="shared" si="151"/>
        <v>-4</v>
      </c>
      <c r="J238">
        <f t="shared" si="147"/>
        <v>8</v>
      </c>
    </row>
    <row r="239" spans="1:10" x14ac:dyDescent="0.4">
      <c r="A239">
        <f t="shared" si="148"/>
        <v>-0.52999999999999936</v>
      </c>
      <c r="B239">
        <f t="shared" si="152"/>
        <v>9</v>
      </c>
      <c r="E239">
        <f t="shared" si="149"/>
        <v>-8.59</v>
      </c>
      <c r="F239">
        <f t="shared" si="150"/>
        <v>9</v>
      </c>
      <c r="I239">
        <f t="shared" si="151"/>
        <v>-3</v>
      </c>
      <c r="J239">
        <f t="shared" si="147"/>
        <v>9</v>
      </c>
    </row>
    <row r="240" spans="1:10" x14ac:dyDescent="0.4">
      <c r="A240">
        <f t="shared" si="148"/>
        <v>0.47000000000000064</v>
      </c>
      <c r="B240">
        <f t="shared" si="152"/>
        <v>10</v>
      </c>
      <c r="E240">
        <f t="shared" si="149"/>
        <v>-7.59</v>
      </c>
      <c r="F240">
        <f t="shared" si="150"/>
        <v>10</v>
      </c>
      <c r="I240">
        <f t="shared" si="151"/>
        <v>-2</v>
      </c>
      <c r="J240">
        <f t="shared" si="147"/>
        <v>10</v>
      </c>
    </row>
    <row r="241" spans="1:10" x14ac:dyDescent="0.4">
      <c r="A241">
        <f t="shared" si="148"/>
        <v>1.6700000000000017</v>
      </c>
      <c r="B241">
        <f t="shared" si="152"/>
        <v>11.200000000000001</v>
      </c>
      <c r="E241">
        <f t="shared" si="149"/>
        <v>-6.3899999999999988</v>
      </c>
      <c r="F241">
        <f t="shared" si="150"/>
        <v>11.200000000000001</v>
      </c>
      <c r="I241">
        <f t="shared" si="151"/>
        <v>-0.79999999999999893</v>
      </c>
      <c r="J241">
        <f t="shared" si="147"/>
        <v>11.200000000000001</v>
      </c>
    </row>
    <row r="242" spans="1:10" x14ac:dyDescent="0.4">
      <c r="A242">
        <f t="shared" si="148"/>
        <v>2.9700000000000006</v>
      </c>
      <c r="B242">
        <f t="shared" si="152"/>
        <v>12.5</v>
      </c>
      <c r="E242">
        <f t="shared" si="149"/>
        <v>-5.09</v>
      </c>
      <c r="F242">
        <f t="shared" si="150"/>
        <v>12.5</v>
      </c>
      <c r="I242">
        <f t="shared" si="151"/>
        <v>0.5</v>
      </c>
      <c r="J242">
        <f t="shared" si="147"/>
        <v>12.5</v>
      </c>
    </row>
    <row r="243" spans="1:10" x14ac:dyDescent="0.4">
      <c r="A243">
        <f t="shared" si="148"/>
        <v>4.4700000000000006</v>
      </c>
      <c r="B243">
        <f t="shared" si="152"/>
        <v>14</v>
      </c>
      <c r="E243">
        <f t="shared" si="149"/>
        <v>-3.59</v>
      </c>
      <c r="F243">
        <f t="shared" si="150"/>
        <v>14</v>
      </c>
      <c r="I243">
        <f t="shared" si="151"/>
        <v>2</v>
      </c>
      <c r="J243">
        <f t="shared" si="147"/>
        <v>14</v>
      </c>
    </row>
    <row r="244" spans="1:10" x14ac:dyDescent="0.4">
      <c r="A244">
        <f t="shared" si="148"/>
        <v>6.4700000000000006</v>
      </c>
      <c r="B244">
        <f t="shared" si="152"/>
        <v>16</v>
      </c>
      <c r="E244">
        <f t="shared" si="149"/>
        <v>-1.5899999999999999</v>
      </c>
      <c r="F244">
        <f t="shared" si="150"/>
        <v>16</v>
      </c>
      <c r="I244">
        <f t="shared" si="151"/>
        <v>4</v>
      </c>
      <c r="J244">
        <f t="shared" si="147"/>
        <v>16</v>
      </c>
    </row>
    <row r="245" spans="1:10" x14ac:dyDescent="0.4">
      <c r="A245">
        <f t="shared" si="148"/>
        <v>8.4700000000000006</v>
      </c>
      <c r="B245">
        <f t="shared" si="152"/>
        <v>18</v>
      </c>
      <c r="E245">
        <f t="shared" si="149"/>
        <v>0.41000000000000014</v>
      </c>
      <c r="F245">
        <f t="shared" si="150"/>
        <v>18</v>
      </c>
      <c r="I245">
        <f t="shared" si="151"/>
        <v>6</v>
      </c>
      <c r="J245">
        <f t="shared" si="147"/>
        <v>18</v>
      </c>
    </row>
    <row r="246" spans="1:10" x14ac:dyDescent="0.4">
      <c r="A246">
        <f t="shared" si="148"/>
        <v>10.47</v>
      </c>
      <c r="B246">
        <f t="shared" si="152"/>
        <v>20</v>
      </c>
      <c r="E246">
        <f t="shared" si="149"/>
        <v>2.41</v>
      </c>
      <c r="F246">
        <f t="shared" si="150"/>
        <v>20</v>
      </c>
      <c r="I246">
        <f t="shared" si="151"/>
        <v>8</v>
      </c>
      <c r="J246">
        <f t="shared" si="147"/>
        <v>20</v>
      </c>
    </row>
    <row r="247" spans="1:10" x14ac:dyDescent="0.4">
      <c r="A247">
        <f t="shared" si="148"/>
        <v>12.870000000000003</v>
      </c>
      <c r="B247">
        <f t="shared" si="152"/>
        <v>22.400000000000002</v>
      </c>
      <c r="E247">
        <f t="shared" si="149"/>
        <v>4.8100000000000023</v>
      </c>
      <c r="F247">
        <f t="shared" si="150"/>
        <v>22.400000000000002</v>
      </c>
      <c r="I247">
        <f t="shared" si="151"/>
        <v>10.400000000000002</v>
      </c>
      <c r="J247">
        <f t="shared" si="147"/>
        <v>22.400000000000002</v>
      </c>
    </row>
    <row r="248" spans="1:10" x14ac:dyDescent="0.4">
      <c r="A248">
        <f t="shared" si="148"/>
        <v>15.47</v>
      </c>
      <c r="B248">
        <f t="shared" si="152"/>
        <v>25</v>
      </c>
      <c r="E248">
        <f t="shared" si="149"/>
        <v>7.41</v>
      </c>
      <c r="F248">
        <f t="shared" si="150"/>
        <v>25</v>
      </c>
      <c r="I248">
        <f t="shared" si="151"/>
        <v>13</v>
      </c>
      <c r="J248">
        <f t="shared" si="147"/>
        <v>25</v>
      </c>
    </row>
    <row r="249" spans="1:10" x14ac:dyDescent="0.4">
      <c r="A249">
        <f t="shared" si="148"/>
        <v>18.47</v>
      </c>
      <c r="B249">
        <f t="shared" si="152"/>
        <v>28</v>
      </c>
      <c r="E249">
        <f t="shared" si="149"/>
        <v>10.41</v>
      </c>
      <c r="F249">
        <f t="shared" si="150"/>
        <v>28</v>
      </c>
      <c r="I249">
        <f t="shared" si="151"/>
        <v>16</v>
      </c>
      <c r="J249">
        <f t="shared" si="147"/>
        <v>28</v>
      </c>
    </row>
    <row r="250" spans="1:10" x14ac:dyDescent="0.4">
      <c r="A250">
        <f t="shared" si="148"/>
        <v>21.97</v>
      </c>
      <c r="B250">
        <f t="shared" si="152"/>
        <v>31.5</v>
      </c>
      <c r="E250">
        <f t="shared" si="149"/>
        <v>13.91</v>
      </c>
      <c r="F250">
        <f t="shared" si="150"/>
        <v>31.5</v>
      </c>
      <c r="I250">
        <f t="shared" si="151"/>
        <v>19.5</v>
      </c>
      <c r="J250">
        <f t="shared" si="147"/>
        <v>31.5</v>
      </c>
    </row>
    <row r="251" spans="1:10" x14ac:dyDescent="0.4">
      <c r="A251">
        <f t="shared" si="148"/>
        <v>25.97</v>
      </c>
      <c r="B251">
        <f t="shared" si="152"/>
        <v>35.5</v>
      </c>
      <c r="E251">
        <f t="shared" si="149"/>
        <v>17.91</v>
      </c>
      <c r="F251">
        <f t="shared" si="150"/>
        <v>35.5</v>
      </c>
      <c r="I251">
        <f t="shared" si="151"/>
        <v>23.5</v>
      </c>
      <c r="J251">
        <f t="shared" si="147"/>
        <v>35.5</v>
      </c>
    </row>
    <row r="252" spans="1:10" x14ac:dyDescent="0.4">
      <c r="A252">
        <f t="shared" si="148"/>
        <v>30.47</v>
      </c>
      <c r="B252">
        <f t="shared" si="152"/>
        <v>40</v>
      </c>
      <c r="E252">
        <f t="shared" si="149"/>
        <v>22.41</v>
      </c>
      <c r="F252">
        <f t="shared" si="150"/>
        <v>40</v>
      </c>
      <c r="I252">
        <f t="shared" si="151"/>
        <v>28</v>
      </c>
      <c r="J252">
        <f t="shared" si="147"/>
        <v>40</v>
      </c>
    </row>
    <row r="253" spans="1:10" x14ac:dyDescent="0.4">
      <c r="A253">
        <f t="shared" si="148"/>
        <v>35.47</v>
      </c>
      <c r="B253">
        <f t="shared" si="152"/>
        <v>45</v>
      </c>
      <c r="E253">
        <f t="shared" si="149"/>
        <v>27.41</v>
      </c>
      <c r="F253">
        <f t="shared" si="150"/>
        <v>45</v>
      </c>
      <c r="I253">
        <f t="shared" si="151"/>
        <v>33</v>
      </c>
      <c r="J253">
        <f t="shared" si="147"/>
        <v>45</v>
      </c>
    </row>
    <row r="254" spans="1:10" x14ac:dyDescent="0.4">
      <c r="A254">
        <f t="shared" si="148"/>
        <v>40.47</v>
      </c>
      <c r="B254">
        <f t="shared" si="152"/>
        <v>50</v>
      </c>
      <c r="E254">
        <f t="shared" si="149"/>
        <v>32.409999999999997</v>
      </c>
      <c r="F254">
        <f t="shared" si="150"/>
        <v>50</v>
      </c>
      <c r="I254">
        <f t="shared" si="151"/>
        <v>38</v>
      </c>
      <c r="J254">
        <f t="shared" si="147"/>
        <v>50</v>
      </c>
    </row>
    <row r="255" spans="1:10" x14ac:dyDescent="0.4">
      <c r="A255">
        <f t="shared" si="148"/>
        <v>46.47</v>
      </c>
      <c r="B255">
        <f t="shared" si="152"/>
        <v>56</v>
      </c>
      <c r="E255">
        <f t="shared" si="149"/>
        <v>38.409999999999997</v>
      </c>
      <c r="F255">
        <f t="shared" si="150"/>
        <v>56</v>
      </c>
      <c r="I255">
        <f t="shared" si="151"/>
        <v>44</v>
      </c>
      <c r="J255">
        <f t="shared" si="147"/>
        <v>56</v>
      </c>
    </row>
    <row r="256" spans="1:10" x14ac:dyDescent="0.4">
      <c r="A256">
        <f t="shared" si="148"/>
        <v>53.47</v>
      </c>
      <c r="B256">
        <f t="shared" si="152"/>
        <v>63</v>
      </c>
      <c r="E256">
        <f t="shared" si="149"/>
        <v>45.41</v>
      </c>
      <c r="F256">
        <f t="shared" si="150"/>
        <v>63</v>
      </c>
      <c r="I256">
        <f t="shared" si="151"/>
        <v>51</v>
      </c>
      <c r="J256">
        <f t="shared" si="147"/>
        <v>63</v>
      </c>
    </row>
    <row r="257" spans="1:10" x14ac:dyDescent="0.4">
      <c r="A257">
        <f t="shared" si="148"/>
        <v>61.47</v>
      </c>
      <c r="B257">
        <f t="shared" si="152"/>
        <v>71</v>
      </c>
      <c r="E257">
        <f t="shared" si="149"/>
        <v>53.41</v>
      </c>
      <c r="F257">
        <f t="shared" si="150"/>
        <v>71</v>
      </c>
      <c r="I257">
        <f t="shared" si="151"/>
        <v>59</v>
      </c>
      <c r="J257">
        <f t="shared" si="147"/>
        <v>71</v>
      </c>
    </row>
    <row r="258" spans="1:10" x14ac:dyDescent="0.4">
      <c r="A258">
        <f t="shared" si="148"/>
        <v>70.47</v>
      </c>
      <c r="B258">
        <f t="shared" si="152"/>
        <v>80</v>
      </c>
      <c r="E258">
        <f t="shared" si="149"/>
        <v>62.41</v>
      </c>
      <c r="F258">
        <f t="shared" si="150"/>
        <v>80</v>
      </c>
      <c r="I258">
        <f t="shared" si="151"/>
        <v>68</v>
      </c>
      <c r="J258">
        <f t="shared" si="147"/>
        <v>80</v>
      </c>
    </row>
    <row r="259" spans="1:10" x14ac:dyDescent="0.4">
      <c r="A259">
        <f t="shared" si="148"/>
        <v>80.47</v>
      </c>
      <c r="B259">
        <f t="shared" si="152"/>
        <v>90</v>
      </c>
      <c r="E259">
        <f t="shared" si="149"/>
        <v>72.41</v>
      </c>
      <c r="F259">
        <f t="shared" si="150"/>
        <v>90</v>
      </c>
      <c r="I259">
        <f t="shared" si="151"/>
        <v>78</v>
      </c>
      <c r="J259">
        <f t="shared" si="147"/>
        <v>90</v>
      </c>
    </row>
    <row r="260" spans="1:10" x14ac:dyDescent="0.4">
      <c r="A260">
        <f t="shared" si="148"/>
        <v>90.47</v>
      </c>
      <c r="B260">
        <f t="shared" si="152"/>
        <v>100</v>
      </c>
      <c r="E260">
        <f t="shared" si="149"/>
        <v>82.41</v>
      </c>
      <c r="F260">
        <f t="shared" si="150"/>
        <v>100</v>
      </c>
      <c r="I260">
        <f t="shared" si="151"/>
        <v>88</v>
      </c>
      <c r="J260">
        <f t="shared" si="147"/>
        <v>100</v>
      </c>
    </row>
    <row r="261" spans="1:10" x14ac:dyDescent="0.4">
      <c r="A261">
        <f t="shared" si="148"/>
        <v>102.47000000000001</v>
      </c>
      <c r="B261">
        <f t="shared" si="152"/>
        <v>112.00000000000001</v>
      </c>
      <c r="E261">
        <f t="shared" si="149"/>
        <v>94.410000000000011</v>
      </c>
      <c r="F261">
        <f t="shared" si="150"/>
        <v>112.00000000000001</v>
      </c>
      <c r="I261">
        <f t="shared" si="151"/>
        <v>100.00000000000001</v>
      </c>
      <c r="J261">
        <f t="shared" si="147"/>
        <v>112.00000000000001</v>
      </c>
    </row>
    <row r="262" spans="1:10" x14ac:dyDescent="0.4">
      <c r="A262">
        <f t="shared" si="148"/>
        <v>115.47</v>
      </c>
      <c r="B262">
        <f t="shared" si="152"/>
        <v>125</v>
      </c>
      <c r="E262">
        <f t="shared" si="149"/>
        <v>107.41</v>
      </c>
      <c r="F262">
        <f t="shared" si="150"/>
        <v>125</v>
      </c>
      <c r="I262">
        <f t="shared" si="151"/>
        <v>113</v>
      </c>
      <c r="J262">
        <f t="shared" si="147"/>
        <v>125</v>
      </c>
    </row>
    <row r="263" spans="1:10" x14ac:dyDescent="0.4">
      <c r="A263">
        <f t="shared" si="148"/>
        <v>130.47</v>
      </c>
      <c r="B263">
        <f t="shared" si="152"/>
        <v>140</v>
      </c>
      <c r="E263">
        <f t="shared" si="149"/>
        <v>122.41</v>
      </c>
      <c r="F263">
        <f t="shared" si="150"/>
        <v>140</v>
      </c>
      <c r="I263">
        <f t="shared" si="151"/>
        <v>128</v>
      </c>
      <c r="J263">
        <f t="shared" si="147"/>
        <v>140</v>
      </c>
    </row>
    <row r="264" spans="1:10" x14ac:dyDescent="0.4">
      <c r="A264">
        <f t="shared" si="148"/>
        <v>150.47</v>
      </c>
      <c r="B264">
        <f t="shared" si="152"/>
        <v>160</v>
      </c>
      <c r="E264">
        <f t="shared" si="149"/>
        <v>142.41</v>
      </c>
      <c r="F264">
        <f t="shared" si="150"/>
        <v>160</v>
      </c>
      <c r="I264">
        <f t="shared" si="151"/>
        <v>148</v>
      </c>
      <c r="J264">
        <f t="shared" ref="J264:J327" si="153">F264</f>
        <v>160</v>
      </c>
    </row>
    <row r="265" spans="1:10" x14ac:dyDescent="0.4">
      <c r="A265">
        <f t="shared" ref="A265:A328" si="154">B265-$A$198</f>
        <v>170.47</v>
      </c>
      <c r="B265">
        <f t="shared" si="152"/>
        <v>180</v>
      </c>
      <c r="E265">
        <f t="shared" ref="E265:E328" si="155">F265-$E$198</f>
        <v>162.41</v>
      </c>
      <c r="F265">
        <f t="shared" ref="F265:F328" si="156">B265</f>
        <v>180</v>
      </c>
      <c r="I265">
        <f t="shared" ref="I265:I328" si="157">J265-$I$198</f>
        <v>168</v>
      </c>
      <c r="J265">
        <f t="shared" si="153"/>
        <v>180</v>
      </c>
    </row>
    <row r="266" spans="1:10" x14ac:dyDescent="0.4">
      <c r="A266">
        <f t="shared" si="154"/>
        <v>190.47</v>
      </c>
      <c r="B266">
        <f t="shared" si="152"/>
        <v>200</v>
      </c>
      <c r="E266">
        <f t="shared" si="155"/>
        <v>182.41</v>
      </c>
      <c r="F266">
        <f t="shared" si="156"/>
        <v>200</v>
      </c>
      <c r="I266">
        <f t="shared" si="157"/>
        <v>188</v>
      </c>
      <c r="J266">
        <f t="shared" si="153"/>
        <v>200</v>
      </c>
    </row>
    <row r="267" spans="1:10" x14ac:dyDescent="0.4">
      <c r="A267">
        <f t="shared" si="154"/>
        <v>214.47000000000003</v>
      </c>
      <c r="B267">
        <f t="shared" si="152"/>
        <v>224.00000000000003</v>
      </c>
      <c r="E267">
        <f t="shared" si="155"/>
        <v>206.41000000000003</v>
      </c>
      <c r="F267">
        <f t="shared" si="156"/>
        <v>224.00000000000003</v>
      </c>
      <c r="I267">
        <f t="shared" si="157"/>
        <v>212.00000000000003</v>
      </c>
      <c r="J267">
        <f t="shared" si="153"/>
        <v>224.00000000000003</v>
      </c>
    </row>
    <row r="268" spans="1:10" x14ac:dyDescent="0.4">
      <c r="A268">
        <f t="shared" si="154"/>
        <v>240.47</v>
      </c>
      <c r="B268">
        <f t="shared" si="152"/>
        <v>250</v>
      </c>
      <c r="E268">
        <f t="shared" si="155"/>
        <v>232.41</v>
      </c>
      <c r="F268">
        <f t="shared" si="156"/>
        <v>250</v>
      </c>
      <c r="I268">
        <f t="shared" si="157"/>
        <v>238</v>
      </c>
      <c r="J268">
        <f t="shared" si="153"/>
        <v>250</v>
      </c>
    </row>
    <row r="269" spans="1:10" x14ac:dyDescent="0.4">
      <c r="A269">
        <f t="shared" si="154"/>
        <v>270.47000000000003</v>
      </c>
      <c r="B269">
        <f t="shared" si="152"/>
        <v>280</v>
      </c>
      <c r="E269">
        <f t="shared" si="155"/>
        <v>262.41000000000003</v>
      </c>
      <c r="F269">
        <f t="shared" si="156"/>
        <v>280</v>
      </c>
      <c r="I269">
        <f t="shared" si="157"/>
        <v>268</v>
      </c>
      <c r="J269">
        <f t="shared" si="153"/>
        <v>280</v>
      </c>
    </row>
    <row r="270" spans="1:10" x14ac:dyDescent="0.4">
      <c r="A270">
        <f t="shared" si="154"/>
        <v>305.47000000000003</v>
      </c>
      <c r="B270">
        <f t="shared" si="152"/>
        <v>315</v>
      </c>
      <c r="E270">
        <f t="shared" si="155"/>
        <v>297.41000000000003</v>
      </c>
      <c r="F270">
        <f t="shared" si="156"/>
        <v>315</v>
      </c>
      <c r="I270">
        <f t="shared" si="157"/>
        <v>303</v>
      </c>
      <c r="J270">
        <f t="shared" si="153"/>
        <v>315</v>
      </c>
    </row>
    <row r="271" spans="1:10" x14ac:dyDescent="0.4">
      <c r="A271">
        <f t="shared" si="154"/>
        <v>345.47</v>
      </c>
      <c r="B271">
        <f t="shared" si="152"/>
        <v>355</v>
      </c>
      <c r="E271">
        <f t="shared" si="155"/>
        <v>337.41</v>
      </c>
      <c r="F271">
        <f t="shared" si="156"/>
        <v>355</v>
      </c>
      <c r="I271">
        <f t="shared" si="157"/>
        <v>343</v>
      </c>
      <c r="J271">
        <f t="shared" si="153"/>
        <v>355</v>
      </c>
    </row>
    <row r="272" spans="1:10" x14ac:dyDescent="0.4">
      <c r="A272">
        <f t="shared" si="154"/>
        <v>390.47</v>
      </c>
      <c r="B272">
        <f t="shared" si="152"/>
        <v>400</v>
      </c>
      <c r="E272">
        <f t="shared" si="155"/>
        <v>382.41</v>
      </c>
      <c r="F272">
        <f t="shared" si="156"/>
        <v>400</v>
      </c>
      <c r="I272">
        <f t="shared" si="157"/>
        <v>388</v>
      </c>
      <c r="J272">
        <f t="shared" si="153"/>
        <v>400</v>
      </c>
    </row>
    <row r="273" spans="1:10" x14ac:dyDescent="0.4">
      <c r="A273">
        <f t="shared" si="154"/>
        <v>440.47</v>
      </c>
      <c r="B273">
        <f t="shared" si="152"/>
        <v>450</v>
      </c>
      <c r="E273">
        <f t="shared" si="155"/>
        <v>432.41</v>
      </c>
      <c r="F273">
        <f t="shared" si="156"/>
        <v>450</v>
      </c>
      <c r="I273">
        <f t="shared" si="157"/>
        <v>438</v>
      </c>
      <c r="J273">
        <f t="shared" si="153"/>
        <v>450</v>
      </c>
    </row>
    <row r="274" spans="1:10" x14ac:dyDescent="0.4">
      <c r="A274">
        <f t="shared" si="154"/>
        <v>490.47</v>
      </c>
      <c r="B274">
        <f t="shared" si="152"/>
        <v>500</v>
      </c>
      <c r="E274">
        <f t="shared" si="155"/>
        <v>482.41</v>
      </c>
      <c r="F274">
        <f t="shared" si="156"/>
        <v>500</v>
      </c>
      <c r="I274">
        <f t="shared" si="157"/>
        <v>488</v>
      </c>
      <c r="J274">
        <f t="shared" si="153"/>
        <v>500</v>
      </c>
    </row>
    <row r="275" spans="1:10" x14ac:dyDescent="0.4">
      <c r="A275">
        <f t="shared" si="154"/>
        <v>550.47</v>
      </c>
      <c r="B275">
        <f t="shared" si="152"/>
        <v>560</v>
      </c>
      <c r="E275">
        <f t="shared" si="155"/>
        <v>542.41</v>
      </c>
      <c r="F275">
        <f t="shared" si="156"/>
        <v>560</v>
      </c>
      <c r="I275">
        <f t="shared" si="157"/>
        <v>548</v>
      </c>
      <c r="J275">
        <f t="shared" si="153"/>
        <v>560</v>
      </c>
    </row>
    <row r="276" spans="1:10" x14ac:dyDescent="0.4">
      <c r="A276">
        <f t="shared" si="154"/>
        <v>620.47</v>
      </c>
      <c r="B276">
        <f t="shared" si="152"/>
        <v>630</v>
      </c>
      <c r="E276">
        <f t="shared" si="155"/>
        <v>612.41</v>
      </c>
      <c r="F276">
        <f t="shared" si="156"/>
        <v>630</v>
      </c>
      <c r="I276">
        <f t="shared" si="157"/>
        <v>618</v>
      </c>
      <c r="J276">
        <f t="shared" si="153"/>
        <v>630</v>
      </c>
    </row>
    <row r="277" spans="1:10" x14ac:dyDescent="0.4">
      <c r="A277">
        <f t="shared" si="154"/>
        <v>700.47</v>
      </c>
      <c r="B277">
        <f t="shared" si="152"/>
        <v>710</v>
      </c>
      <c r="E277">
        <f t="shared" si="155"/>
        <v>692.41</v>
      </c>
      <c r="F277">
        <f t="shared" si="156"/>
        <v>710</v>
      </c>
      <c r="I277">
        <f t="shared" si="157"/>
        <v>698</v>
      </c>
      <c r="J277">
        <f t="shared" si="153"/>
        <v>710</v>
      </c>
    </row>
    <row r="278" spans="1:10" x14ac:dyDescent="0.4">
      <c r="A278">
        <f t="shared" si="154"/>
        <v>790.47</v>
      </c>
      <c r="B278">
        <f t="shared" si="152"/>
        <v>800</v>
      </c>
      <c r="E278">
        <f t="shared" si="155"/>
        <v>782.41</v>
      </c>
      <c r="F278">
        <f t="shared" si="156"/>
        <v>800</v>
      </c>
      <c r="I278">
        <f t="shared" si="157"/>
        <v>788</v>
      </c>
      <c r="J278">
        <f t="shared" si="153"/>
        <v>800</v>
      </c>
    </row>
    <row r="279" spans="1:10" x14ac:dyDescent="0.4">
      <c r="A279">
        <f t="shared" si="154"/>
        <v>890.47</v>
      </c>
      <c r="B279">
        <f t="shared" si="152"/>
        <v>900</v>
      </c>
      <c r="E279">
        <f t="shared" si="155"/>
        <v>882.41</v>
      </c>
      <c r="F279">
        <f t="shared" si="156"/>
        <v>900</v>
      </c>
      <c r="I279">
        <f t="shared" si="157"/>
        <v>888</v>
      </c>
      <c r="J279">
        <f t="shared" si="153"/>
        <v>900</v>
      </c>
    </row>
    <row r="280" spans="1:10" x14ac:dyDescent="0.4">
      <c r="A280">
        <f t="shared" si="154"/>
        <v>990.47</v>
      </c>
      <c r="B280">
        <f t="shared" si="152"/>
        <v>1000</v>
      </c>
      <c r="E280">
        <f t="shared" si="155"/>
        <v>982.41</v>
      </c>
      <c r="F280">
        <f t="shared" si="156"/>
        <v>1000</v>
      </c>
      <c r="I280">
        <f t="shared" si="157"/>
        <v>988</v>
      </c>
      <c r="J280">
        <f t="shared" si="153"/>
        <v>1000</v>
      </c>
    </row>
    <row r="281" spans="1:10" x14ac:dyDescent="0.4">
      <c r="A281">
        <f t="shared" si="154"/>
        <v>1110.4700000000003</v>
      </c>
      <c r="B281">
        <f t="shared" si="152"/>
        <v>1120.0000000000002</v>
      </c>
      <c r="E281">
        <f t="shared" si="155"/>
        <v>1102.4100000000003</v>
      </c>
      <c r="F281">
        <f t="shared" si="156"/>
        <v>1120.0000000000002</v>
      </c>
      <c r="I281">
        <f t="shared" si="157"/>
        <v>1108.0000000000002</v>
      </c>
      <c r="J281">
        <f t="shared" si="153"/>
        <v>1120.0000000000002</v>
      </c>
    </row>
    <row r="282" spans="1:10" x14ac:dyDescent="0.4">
      <c r="A282">
        <f t="shared" si="154"/>
        <v>1240.47</v>
      </c>
      <c r="B282">
        <f t="shared" si="152"/>
        <v>1250</v>
      </c>
      <c r="E282">
        <f t="shared" si="155"/>
        <v>1232.4100000000001</v>
      </c>
      <c r="F282">
        <f t="shared" si="156"/>
        <v>1250</v>
      </c>
      <c r="I282">
        <f t="shared" si="157"/>
        <v>1238</v>
      </c>
      <c r="J282">
        <f t="shared" si="153"/>
        <v>1250</v>
      </c>
    </row>
    <row r="283" spans="1:10" x14ac:dyDescent="0.4">
      <c r="A283">
        <f t="shared" si="154"/>
        <v>1390.47</v>
      </c>
      <c r="B283">
        <f t="shared" si="152"/>
        <v>1400</v>
      </c>
      <c r="E283">
        <f t="shared" si="155"/>
        <v>1382.41</v>
      </c>
      <c r="F283">
        <f t="shared" si="156"/>
        <v>1400</v>
      </c>
      <c r="I283">
        <f t="shared" si="157"/>
        <v>1388</v>
      </c>
      <c r="J283">
        <f t="shared" si="153"/>
        <v>1400</v>
      </c>
    </row>
    <row r="284" spans="1:10" x14ac:dyDescent="0.4">
      <c r="A284">
        <f t="shared" si="154"/>
        <v>1590.47</v>
      </c>
      <c r="B284">
        <f t="shared" si="152"/>
        <v>1600</v>
      </c>
      <c r="E284">
        <f t="shared" si="155"/>
        <v>1582.41</v>
      </c>
      <c r="F284">
        <f t="shared" si="156"/>
        <v>1600</v>
      </c>
      <c r="I284">
        <f t="shared" si="157"/>
        <v>1588</v>
      </c>
      <c r="J284">
        <f t="shared" si="153"/>
        <v>1600</v>
      </c>
    </row>
    <row r="285" spans="1:10" x14ac:dyDescent="0.4">
      <c r="A285">
        <f t="shared" si="154"/>
        <v>1790.47</v>
      </c>
      <c r="B285">
        <f t="shared" ref="B285:B340" si="158">B265*10</f>
        <v>1800</v>
      </c>
      <c r="E285">
        <f t="shared" si="155"/>
        <v>1782.41</v>
      </c>
      <c r="F285">
        <f t="shared" si="156"/>
        <v>1800</v>
      </c>
      <c r="I285">
        <f t="shared" si="157"/>
        <v>1788</v>
      </c>
      <c r="J285">
        <f t="shared" si="153"/>
        <v>1800</v>
      </c>
    </row>
    <row r="286" spans="1:10" x14ac:dyDescent="0.4">
      <c r="A286">
        <f t="shared" si="154"/>
        <v>1990.47</v>
      </c>
      <c r="B286">
        <f t="shared" si="158"/>
        <v>2000</v>
      </c>
      <c r="E286">
        <f t="shared" si="155"/>
        <v>1982.41</v>
      </c>
      <c r="F286">
        <f t="shared" si="156"/>
        <v>2000</v>
      </c>
      <c r="I286">
        <f t="shared" si="157"/>
        <v>1988</v>
      </c>
      <c r="J286">
        <f t="shared" si="153"/>
        <v>2000</v>
      </c>
    </row>
    <row r="287" spans="1:10" x14ac:dyDescent="0.4">
      <c r="A287">
        <f t="shared" si="154"/>
        <v>2230.4700000000003</v>
      </c>
      <c r="B287">
        <f t="shared" si="158"/>
        <v>2240.0000000000005</v>
      </c>
      <c r="E287">
        <f t="shared" si="155"/>
        <v>2222.4100000000003</v>
      </c>
      <c r="F287">
        <f t="shared" si="156"/>
        <v>2240.0000000000005</v>
      </c>
      <c r="I287">
        <f t="shared" si="157"/>
        <v>2228.0000000000005</v>
      </c>
      <c r="J287">
        <f t="shared" si="153"/>
        <v>2240.0000000000005</v>
      </c>
    </row>
    <row r="288" spans="1:10" x14ac:dyDescent="0.4">
      <c r="A288">
        <f t="shared" si="154"/>
        <v>2490.4699999999998</v>
      </c>
      <c r="B288">
        <f t="shared" si="158"/>
        <v>2500</v>
      </c>
      <c r="E288">
        <f t="shared" si="155"/>
        <v>2482.41</v>
      </c>
      <c r="F288">
        <f t="shared" si="156"/>
        <v>2500</v>
      </c>
      <c r="I288">
        <f t="shared" si="157"/>
        <v>2488</v>
      </c>
      <c r="J288">
        <f t="shared" si="153"/>
        <v>2500</v>
      </c>
    </row>
    <row r="289" spans="1:10" x14ac:dyDescent="0.4">
      <c r="A289">
        <f t="shared" si="154"/>
        <v>2790.47</v>
      </c>
      <c r="B289">
        <f t="shared" si="158"/>
        <v>2800</v>
      </c>
      <c r="E289">
        <f t="shared" si="155"/>
        <v>2782.41</v>
      </c>
      <c r="F289">
        <f t="shared" si="156"/>
        <v>2800</v>
      </c>
      <c r="I289">
        <f t="shared" si="157"/>
        <v>2788</v>
      </c>
      <c r="J289">
        <f t="shared" si="153"/>
        <v>2800</v>
      </c>
    </row>
    <row r="290" spans="1:10" x14ac:dyDescent="0.4">
      <c r="A290">
        <f t="shared" si="154"/>
        <v>3140.47</v>
      </c>
      <c r="B290">
        <f t="shared" si="158"/>
        <v>3150</v>
      </c>
      <c r="E290">
        <f t="shared" si="155"/>
        <v>3132.41</v>
      </c>
      <c r="F290">
        <f t="shared" si="156"/>
        <v>3150</v>
      </c>
      <c r="I290">
        <f t="shared" si="157"/>
        <v>3138</v>
      </c>
      <c r="J290">
        <f t="shared" si="153"/>
        <v>3150</v>
      </c>
    </row>
    <row r="291" spans="1:10" x14ac:dyDescent="0.4">
      <c r="A291">
        <f t="shared" si="154"/>
        <v>3540.47</v>
      </c>
      <c r="B291">
        <f t="shared" si="158"/>
        <v>3550</v>
      </c>
      <c r="E291">
        <f t="shared" si="155"/>
        <v>3532.41</v>
      </c>
      <c r="F291">
        <f t="shared" si="156"/>
        <v>3550</v>
      </c>
      <c r="I291">
        <f t="shared" si="157"/>
        <v>3538</v>
      </c>
      <c r="J291">
        <f t="shared" si="153"/>
        <v>3550</v>
      </c>
    </row>
    <row r="292" spans="1:10" x14ac:dyDescent="0.4">
      <c r="A292">
        <f t="shared" si="154"/>
        <v>3990.47</v>
      </c>
      <c r="B292">
        <f t="shared" si="158"/>
        <v>4000</v>
      </c>
      <c r="E292">
        <f t="shared" si="155"/>
        <v>3982.41</v>
      </c>
      <c r="F292">
        <f t="shared" si="156"/>
        <v>4000</v>
      </c>
      <c r="I292">
        <f t="shared" si="157"/>
        <v>3988</v>
      </c>
      <c r="J292">
        <f t="shared" si="153"/>
        <v>4000</v>
      </c>
    </row>
    <row r="293" spans="1:10" x14ac:dyDescent="0.4">
      <c r="A293">
        <f t="shared" si="154"/>
        <v>4490.47</v>
      </c>
      <c r="B293">
        <f t="shared" si="158"/>
        <v>4500</v>
      </c>
      <c r="E293">
        <f t="shared" si="155"/>
        <v>4482.41</v>
      </c>
      <c r="F293">
        <f t="shared" si="156"/>
        <v>4500</v>
      </c>
      <c r="I293">
        <f t="shared" si="157"/>
        <v>4488</v>
      </c>
      <c r="J293">
        <f t="shared" si="153"/>
        <v>4500</v>
      </c>
    </row>
    <row r="294" spans="1:10" x14ac:dyDescent="0.4">
      <c r="A294">
        <f t="shared" si="154"/>
        <v>4990.47</v>
      </c>
      <c r="B294">
        <f t="shared" si="158"/>
        <v>5000</v>
      </c>
      <c r="E294">
        <f t="shared" si="155"/>
        <v>4982.41</v>
      </c>
      <c r="F294">
        <f t="shared" si="156"/>
        <v>5000</v>
      </c>
      <c r="I294">
        <f t="shared" si="157"/>
        <v>4988</v>
      </c>
      <c r="J294">
        <f t="shared" si="153"/>
        <v>5000</v>
      </c>
    </row>
    <row r="295" spans="1:10" x14ac:dyDescent="0.4">
      <c r="A295">
        <f t="shared" si="154"/>
        <v>5590.47</v>
      </c>
      <c r="B295">
        <f t="shared" si="158"/>
        <v>5600</v>
      </c>
      <c r="E295">
        <f t="shared" si="155"/>
        <v>5582.41</v>
      </c>
      <c r="F295">
        <f t="shared" si="156"/>
        <v>5600</v>
      </c>
      <c r="I295">
        <f t="shared" si="157"/>
        <v>5588</v>
      </c>
      <c r="J295">
        <f t="shared" si="153"/>
        <v>5600</v>
      </c>
    </row>
    <row r="296" spans="1:10" x14ac:dyDescent="0.4">
      <c r="A296">
        <f t="shared" si="154"/>
        <v>6290.47</v>
      </c>
      <c r="B296">
        <f t="shared" si="158"/>
        <v>6300</v>
      </c>
      <c r="E296">
        <f t="shared" si="155"/>
        <v>6282.41</v>
      </c>
      <c r="F296">
        <f t="shared" si="156"/>
        <v>6300</v>
      </c>
      <c r="I296">
        <f t="shared" si="157"/>
        <v>6288</v>
      </c>
      <c r="J296">
        <f t="shared" si="153"/>
        <v>6300</v>
      </c>
    </row>
    <row r="297" spans="1:10" x14ac:dyDescent="0.4">
      <c r="A297">
        <f t="shared" si="154"/>
        <v>7090.47</v>
      </c>
      <c r="B297">
        <f t="shared" si="158"/>
        <v>7100</v>
      </c>
      <c r="E297">
        <f t="shared" si="155"/>
        <v>7082.41</v>
      </c>
      <c r="F297">
        <f t="shared" si="156"/>
        <v>7100</v>
      </c>
      <c r="I297">
        <f t="shared" si="157"/>
        <v>7088</v>
      </c>
      <c r="J297">
        <f t="shared" si="153"/>
        <v>7100</v>
      </c>
    </row>
    <row r="298" spans="1:10" x14ac:dyDescent="0.4">
      <c r="A298">
        <f t="shared" si="154"/>
        <v>7990.47</v>
      </c>
      <c r="B298">
        <f t="shared" si="158"/>
        <v>8000</v>
      </c>
      <c r="E298">
        <f t="shared" si="155"/>
        <v>7982.41</v>
      </c>
      <c r="F298">
        <f t="shared" si="156"/>
        <v>8000</v>
      </c>
      <c r="I298">
        <f t="shared" si="157"/>
        <v>7988</v>
      </c>
      <c r="J298">
        <f t="shared" si="153"/>
        <v>8000</v>
      </c>
    </row>
    <row r="299" spans="1:10" x14ac:dyDescent="0.4">
      <c r="A299">
        <f t="shared" si="154"/>
        <v>8990.4699999999993</v>
      </c>
      <c r="B299">
        <f t="shared" si="158"/>
        <v>9000</v>
      </c>
      <c r="E299">
        <f t="shared" si="155"/>
        <v>8982.41</v>
      </c>
      <c r="F299">
        <f t="shared" si="156"/>
        <v>9000</v>
      </c>
      <c r="I299">
        <f t="shared" si="157"/>
        <v>8988</v>
      </c>
      <c r="J299">
        <f t="shared" si="153"/>
        <v>9000</v>
      </c>
    </row>
    <row r="300" spans="1:10" x14ac:dyDescent="0.4">
      <c r="A300">
        <f t="shared" si="154"/>
        <v>9990.4699999999993</v>
      </c>
      <c r="B300">
        <f t="shared" si="158"/>
        <v>10000</v>
      </c>
      <c r="E300">
        <f t="shared" si="155"/>
        <v>9982.41</v>
      </c>
      <c r="F300">
        <f t="shared" si="156"/>
        <v>10000</v>
      </c>
      <c r="I300">
        <f t="shared" si="157"/>
        <v>9988</v>
      </c>
      <c r="J300">
        <f t="shared" si="153"/>
        <v>10000</v>
      </c>
    </row>
    <row r="301" spans="1:10" x14ac:dyDescent="0.4">
      <c r="A301">
        <f t="shared" si="154"/>
        <v>11190.470000000001</v>
      </c>
      <c r="B301">
        <f t="shared" si="158"/>
        <v>11200.000000000002</v>
      </c>
      <c r="E301">
        <f t="shared" si="155"/>
        <v>11182.410000000002</v>
      </c>
      <c r="F301">
        <f t="shared" si="156"/>
        <v>11200.000000000002</v>
      </c>
      <c r="I301">
        <f t="shared" si="157"/>
        <v>11188.000000000002</v>
      </c>
      <c r="J301">
        <f t="shared" si="153"/>
        <v>11200.000000000002</v>
      </c>
    </row>
    <row r="302" spans="1:10" x14ac:dyDescent="0.4">
      <c r="A302">
        <f t="shared" si="154"/>
        <v>12490.47</v>
      </c>
      <c r="B302">
        <f t="shared" si="158"/>
        <v>12500</v>
      </c>
      <c r="E302">
        <f t="shared" si="155"/>
        <v>12482.41</v>
      </c>
      <c r="F302">
        <f t="shared" si="156"/>
        <v>12500</v>
      </c>
      <c r="I302">
        <f t="shared" si="157"/>
        <v>12488</v>
      </c>
      <c r="J302">
        <f t="shared" si="153"/>
        <v>12500</v>
      </c>
    </row>
    <row r="303" spans="1:10" x14ac:dyDescent="0.4">
      <c r="A303">
        <f t="shared" si="154"/>
        <v>13990.47</v>
      </c>
      <c r="B303">
        <f t="shared" si="158"/>
        <v>14000</v>
      </c>
      <c r="E303">
        <f t="shared" si="155"/>
        <v>13982.41</v>
      </c>
      <c r="F303">
        <f t="shared" si="156"/>
        <v>14000</v>
      </c>
      <c r="I303">
        <f t="shared" si="157"/>
        <v>13988</v>
      </c>
      <c r="J303">
        <f t="shared" si="153"/>
        <v>14000</v>
      </c>
    </row>
    <row r="304" spans="1:10" x14ac:dyDescent="0.4">
      <c r="A304">
        <f t="shared" si="154"/>
        <v>15990.47</v>
      </c>
      <c r="B304">
        <f t="shared" si="158"/>
        <v>16000</v>
      </c>
      <c r="E304">
        <f t="shared" si="155"/>
        <v>15982.41</v>
      </c>
      <c r="F304">
        <f t="shared" si="156"/>
        <v>16000</v>
      </c>
      <c r="I304">
        <f t="shared" si="157"/>
        <v>15988</v>
      </c>
      <c r="J304">
        <f t="shared" si="153"/>
        <v>16000</v>
      </c>
    </row>
    <row r="305" spans="1:10" x14ac:dyDescent="0.4">
      <c r="A305">
        <f t="shared" si="154"/>
        <v>17990.47</v>
      </c>
      <c r="B305">
        <f t="shared" si="158"/>
        <v>18000</v>
      </c>
      <c r="E305">
        <f t="shared" si="155"/>
        <v>17982.41</v>
      </c>
      <c r="F305">
        <f t="shared" si="156"/>
        <v>18000</v>
      </c>
      <c r="I305">
        <f t="shared" si="157"/>
        <v>17988</v>
      </c>
      <c r="J305">
        <f t="shared" si="153"/>
        <v>18000</v>
      </c>
    </row>
    <row r="306" spans="1:10" x14ac:dyDescent="0.4">
      <c r="A306">
        <f t="shared" si="154"/>
        <v>19990.47</v>
      </c>
      <c r="B306">
        <f t="shared" si="158"/>
        <v>20000</v>
      </c>
      <c r="E306">
        <f t="shared" si="155"/>
        <v>19982.41</v>
      </c>
      <c r="F306">
        <f t="shared" si="156"/>
        <v>20000</v>
      </c>
      <c r="I306">
        <f t="shared" si="157"/>
        <v>19988</v>
      </c>
      <c r="J306">
        <f t="shared" si="153"/>
        <v>20000</v>
      </c>
    </row>
    <row r="307" spans="1:10" x14ac:dyDescent="0.4">
      <c r="A307">
        <f t="shared" si="154"/>
        <v>22390.470000000005</v>
      </c>
      <c r="B307">
        <f t="shared" si="158"/>
        <v>22400.000000000004</v>
      </c>
      <c r="E307">
        <f t="shared" si="155"/>
        <v>22382.410000000003</v>
      </c>
      <c r="F307">
        <f t="shared" si="156"/>
        <v>22400.000000000004</v>
      </c>
      <c r="I307">
        <f t="shared" si="157"/>
        <v>22388.000000000004</v>
      </c>
      <c r="J307">
        <f t="shared" si="153"/>
        <v>22400.000000000004</v>
      </c>
    </row>
    <row r="308" spans="1:10" x14ac:dyDescent="0.4">
      <c r="A308">
        <f t="shared" si="154"/>
        <v>24990.47</v>
      </c>
      <c r="B308">
        <f t="shared" si="158"/>
        <v>25000</v>
      </c>
      <c r="E308">
        <f t="shared" si="155"/>
        <v>24982.41</v>
      </c>
      <c r="F308">
        <f t="shared" si="156"/>
        <v>25000</v>
      </c>
      <c r="I308">
        <f t="shared" si="157"/>
        <v>24988</v>
      </c>
      <c r="J308">
        <f t="shared" si="153"/>
        <v>25000</v>
      </c>
    </row>
    <row r="309" spans="1:10" x14ac:dyDescent="0.4">
      <c r="A309">
        <f t="shared" si="154"/>
        <v>27990.47</v>
      </c>
      <c r="B309">
        <f t="shared" si="158"/>
        <v>28000</v>
      </c>
      <c r="E309">
        <f t="shared" si="155"/>
        <v>27982.41</v>
      </c>
      <c r="F309">
        <f t="shared" si="156"/>
        <v>28000</v>
      </c>
      <c r="I309">
        <f t="shared" si="157"/>
        <v>27988</v>
      </c>
      <c r="J309">
        <f t="shared" si="153"/>
        <v>28000</v>
      </c>
    </row>
    <row r="310" spans="1:10" x14ac:dyDescent="0.4">
      <c r="A310">
        <f t="shared" si="154"/>
        <v>31490.47</v>
      </c>
      <c r="B310">
        <f t="shared" si="158"/>
        <v>31500</v>
      </c>
      <c r="E310">
        <f t="shared" si="155"/>
        <v>31482.41</v>
      </c>
      <c r="F310">
        <f t="shared" si="156"/>
        <v>31500</v>
      </c>
      <c r="I310">
        <f t="shared" si="157"/>
        <v>31488</v>
      </c>
      <c r="J310">
        <f t="shared" si="153"/>
        <v>31500</v>
      </c>
    </row>
    <row r="311" spans="1:10" x14ac:dyDescent="0.4">
      <c r="A311">
        <f t="shared" si="154"/>
        <v>35490.47</v>
      </c>
      <c r="B311">
        <f t="shared" si="158"/>
        <v>35500</v>
      </c>
      <c r="E311">
        <f t="shared" si="155"/>
        <v>35482.410000000003</v>
      </c>
      <c r="F311">
        <f t="shared" si="156"/>
        <v>35500</v>
      </c>
      <c r="I311">
        <f t="shared" si="157"/>
        <v>35488</v>
      </c>
      <c r="J311">
        <f t="shared" si="153"/>
        <v>35500</v>
      </c>
    </row>
    <row r="312" spans="1:10" x14ac:dyDescent="0.4">
      <c r="A312">
        <f t="shared" si="154"/>
        <v>39990.47</v>
      </c>
      <c r="B312">
        <f t="shared" si="158"/>
        <v>40000</v>
      </c>
      <c r="E312">
        <f t="shared" si="155"/>
        <v>39982.410000000003</v>
      </c>
      <c r="F312">
        <f t="shared" si="156"/>
        <v>40000</v>
      </c>
      <c r="I312">
        <f t="shared" si="157"/>
        <v>39988</v>
      </c>
      <c r="J312">
        <f t="shared" si="153"/>
        <v>40000</v>
      </c>
    </row>
    <row r="313" spans="1:10" x14ac:dyDescent="0.4">
      <c r="A313">
        <f t="shared" si="154"/>
        <v>44990.47</v>
      </c>
      <c r="B313">
        <f t="shared" si="158"/>
        <v>45000</v>
      </c>
      <c r="E313">
        <f t="shared" si="155"/>
        <v>44982.41</v>
      </c>
      <c r="F313">
        <f t="shared" si="156"/>
        <v>45000</v>
      </c>
      <c r="I313">
        <f t="shared" si="157"/>
        <v>44988</v>
      </c>
      <c r="J313">
        <f t="shared" si="153"/>
        <v>45000</v>
      </c>
    </row>
    <row r="314" spans="1:10" x14ac:dyDescent="0.4">
      <c r="A314">
        <f t="shared" si="154"/>
        <v>49990.47</v>
      </c>
      <c r="B314">
        <f t="shared" si="158"/>
        <v>50000</v>
      </c>
      <c r="E314">
        <f t="shared" si="155"/>
        <v>49982.41</v>
      </c>
      <c r="F314">
        <f t="shared" si="156"/>
        <v>50000</v>
      </c>
      <c r="I314">
        <f t="shared" si="157"/>
        <v>49988</v>
      </c>
      <c r="J314">
        <f t="shared" si="153"/>
        <v>50000</v>
      </c>
    </row>
    <row r="315" spans="1:10" x14ac:dyDescent="0.4">
      <c r="A315">
        <f t="shared" si="154"/>
        <v>55990.47</v>
      </c>
      <c r="B315">
        <f t="shared" si="158"/>
        <v>56000</v>
      </c>
      <c r="E315">
        <f t="shared" si="155"/>
        <v>55982.41</v>
      </c>
      <c r="F315">
        <f t="shared" si="156"/>
        <v>56000</v>
      </c>
      <c r="I315">
        <f t="shared" si="157"/>
        <v>55988</v>
      </c>
      <c r="J315">
        <f t="shared" si="153"/>
        <v>56000</v>
      </c>
    </row>
    <row r="316" spans="1:10" x14ac:dyDescent="0.4">
      <c r="A316">
        <f t="shared" si="154"/>
        <v>62990.47</v>
      </c>
      <c r="B316">
        <f t="shared" si="158"/>
        <v>63000</v>
      </c>
      <c r="E316">
        <f t="shared" si="155"/>
        <v>62982.41</v>
      </c>
      <c r="F316">
        <f t="shared" si="156"/>
        <v>63000</v>
      </c>
      <c r="I316">
        <f t="shared" si="157"/>
        <v>62988</v>
      </c>
      <c r="J316">
        <f t="shared" si="153"/>
        <v>63000</v>
      </c>
    </row>
    <row r="317" spans="1:10" x14ac:dyDescent="0.4">
      <c r="A317">
        <f t="shared" si="154"/>
        <v>70990.47</v>
      </c>
      <c r="B317">
        <f t="shared" si="158"/>
        <v>71000</v>
      </c>
      <c r="E317">
        <f t="shared" si="155"/>
        <v>70982.41</v>
      </c>
      <c r="F317">
        <f t="shared" si="156"/>
        <v>71000</v>
      </c>
      <c r="I317">
        <f t="shared" si="157"/>
        <v>70988</v>
      </c>
      <c r="J317">
        <f t="shared" si="153"/>
        <v>71000</v>
      </c>
    </row>
    <row r="318" spans="1:10" x14ac:dyDescent="0.4">
      <c r="A318">
        <f t="shared" si="154"/>
        <v>79990.47</v>
      </c>
      <c r="B318">
        <f t="shared" si="158"/>
        <v>80000</v>
      </c>
      <c r="E318">
        <f t="shared" si="155"/>
        <v>79982.41</v>
      </c>
      <c r="F318">
        <f t="shared" si="156"/>
        <v>80000</v>
      </c>
      <c r="I318">
        <f t="shared" si="157"/>
        <v>79988</v>
      </c>
      <c r="J318">
        <f t="shared" si="153"/>
        <v>80000</v>
      </c>
    </row>
    <row r="319" spans="1:10" x14ac:dyDescent="0.4">
      <c r="A319">
        <f t="shared" si="154"/>
        <v>89990.47</v>
      </c>
      <c r="B319">
        <f t="shared" si="158"/>
        <v>90000</v>
      </c>
      <c r="E319">
        <f t="shared" si="155"/>
        <v>89982.41</v>
      </c>
      <c r="F319">
        <f t="shared" si="156"/>
        <v>90000</v>
      </c>
      <c r="I319">
        <f t="shared" si="157"/>
        <v>89988</v>
      </c>
      <c r="J319">
        <f t="shared" si="153"/>
        <v>90000</v>
      </c>
    </row>
    <row r="320" spans="1:10" x14ac:dyDescent="0.4">
      <c r="A320">
        <f t="shared" si="154"/>
        <v>99990.47</v>
      </c>
      <c r="B320">
        <f t="shared" si="158"/>
        <v>100000</v>
      </c>
      <c r="E320">
        <f t="shared" si="155"/>
        <v>99982.41</v>
      </c>
      <c r="F320">
        <f t="shared" si="156"/>
        <v>100000</v>
      </c>
      <c r="I320">
        <f t="shared" si="157"/>
        <v>99988</v>
      </c>
      <c r="J320">
        <f t="shared" si="153"/>
        <v>100000</v>
      </c>
    </row>
    <row r="321" spans="1:10" x14ac:dyDescent="0.4">
      <c r="A321">
        <f t="shared" si="154"/>
        <v>111990.47000000002</v>
      </c>
      <c r="B321">
        <f t="shared" si="158"/>
        <v>112000.00000000001</v>
      </c>
      <c r="E321">
        <f t="shared" si="155"/>
        <v>111982.41000000002</v>
      </c>
      <c r="F321">
        <f t="shared" si="156"/>
        <v>112000.00000000001</v>
      </c>
      <c r="I321">
        <f t="shared" si="157"/>
        <v>111988.00000000001</v>
      </c>
      <c r="J321">
        <f t="shared" si="153"/>
        <v>112000.00000000001</v>
      </c>
    </row>
    <row r="322" spans="1:10" x14ac:dyDescent="0.4">
      <c r="A322">
        <f t="shared" si="154"/>
        <v>124990.47</v>
      </c>
      <c r="B322">
        <f t="shared" si="158"/>
        <v>125000</v>
      </c>
      <c r="E322">
        <f t="shared" si="155"/>
        <v>124982.41</v>
      </c>
      <c r="F322">
        <f t="shared" si="156"/>
        <v>125000</v>
      </c>
      <c r="I322">
        <f t="shared" si="157"/>
        <v>124988</v>
      </c>
      <c r="J322">
        <f t="shared" si="153"/>
        <v>125000</v>
      </c>
    </row>
    <row r="323" spans="1:10" x14ac:dyDescent="0.4">
      <c r="A323">
        <f t="shared" si="154"/>
        <v>139990.47</v>
      </c>
      <c r="B323">
        <f t="shared" si="158"/>
        <v>140000</v>
      </c>
      <c r="E323">
        <f t="shared" si="155"/>
        <v>139982.41</v>
      </c>
      <c r="F323">
        <f t="shared" si="156"/>
        <v>140000</v>
      </c>
      <c r="I323">
        <f t="shared" si="157"/>
        <v>139988</v>
      </c>
      <c r="J323">
        <f t="shared" si="153"/>
        <v>140000</v>
      </c>
    </row>
    <row r="324" spans="1:10" x14ac:dyDescent="0.4">
      <c r="A324">
        <f t="shared" si="154"/>
        <v>159990.47</v>
      </c>
      <c r="B324">
        <f t="shared" si="158"/>
        <v>160000</v>
      </c>
      <c r="E324">
        <f t="shared" si="155"/>
        <v>159982.41</v>
      </c>
      <c r="F324">
        <f t="shared" si="156"/>
        <v>160000</v>
      </c>
      <c r="I324">
        <f t="shared" si="157"/>
        <v>159988</v>
      </c>
      <c r="J324">
        <f t="shared" si="153"/>
        <v>160000</v>
      </c>
    </row>
    <row r="325" spans="1:10" x14ac:dyDescent="0.4">
      <c r="A325">
        <f t="shared" si="154"/>
        <v>179990.47</v>
      </c>
      <c r="B325">
        <f t="shared" si="158"/>
        <v>180000</v>
      </c>
      <c r="E325">
        <f t="shared" si="155"/>
        <v>179982.41</v>
      </c>
      <c r="F325">
        <f t="shared" si="156"/>
        <v>180000</v>
      </c>
      <c r="I325">
        <f t="shared" si="157"/>
        <v>179988</v>
      </c>
      <c r="J325">
        <f t="shared" si="153"/>
        <v>180000</v>
      </c>
    </row>
    <row r="326" spans="1:10" x14ac:dyDescent="0.4">
      <c r="A326">
        <f t="shared" si="154"/>
        <v>199990.47</v>
      </c>
      <c r="B326">
        <f t="shared" si="158"/>
        <v>200000</v>
      </c>
      <c r="E326">
        <f t="shared" si="155"/>
        <v>199982.41</v>
      </c>
      <c r="F326">
        <f t="shared" si="156"/>
        <v>200000</v>
      </c>
      <c r="I326">
        <f t="shared" si="157"/>
        <v>199988</v>
      </c>
      <c r="J326">
        <f t="shared" si="153"/>
        <v>200000</v>
      </c>
    </row>
    <row r="327" spans="1:10" x14ac:dyDescent="0.4">
      <c r="A327">
        <f t="shared" si="154"/>
        <v>223990.47000000003</v>
      </c>
      <c r="B327">
        <f t="shared" si="158"/>
        <v>224000.00000000003</v>
      </c>
      <c r="E327">
        <f t="shared" si="155"/>
        <v>223982.41000000003</v>
      </c>
      <c r="F327">
        <f t="shared" si="156"/>
        <v>224000.00000000003</v>
      </c>
      <c r="I327">
        <f t="shared" si="157"/>
        <v>223988.00000000003</v>
      </c>
      <c r="J327">
        <f t="shared" si="153"/>
        <v>224000.00000000003</v>
      </c>
    </row>
    <row r="328" spans="1:10" x14ac:dyDescent="0.4">
      <c r="A328">
        <f t="shared" si="154"/>
        <v>249990.47</v>
      </c>
      <c r="B328">
        <f t="shared" si="158"/>
        <v>250000</v>
      </c>
      <c r="E328">
        <f t="shared" si="155"/>
        <v>249982.41</v>
      </c>
      <c r="F328">
        <f t="shared" si="156"/>
        <v>250000</v>
      </c>
      <c r="I328">
        <f t="shared" si="157"/>
        <v>249988</v>
      </c>
      <c r="J328">
        <f t="shared" ref="J328:J340" si="159">F328</f>
        <v>250000</v>
      </c>
    </row>
    <row r="329" spans="1:10" x14ac:dyDescent="0.4">
      <c r="A329">
        <f t="shared" ref="A329:A340" si="160">B329-$A$198</f>
        <v>279990.46999999997</v>
      </c>
      <c r="B329">
        <f t="shared" si="158"/>
        <v>280000</v>
      </c>
      <c r="E329">
        <f t="shared" ref="E329:E340" si="161">F329-$E$198</f>
        <v>279982.40999999997</v>
      </c>
      <c r="F329">
        <f t="shared" ref="F329:F340" si="162">B329</f>
        <v>280000</v>
      </c>
      <c r="I329">
        <f t="shared" ref="I329:I340" si="163">J329-$I$198</f>
        <v>279988</v>
      </c>
      <c r="J329">
        <f t="shared" si="159"/>
        <v>280000</v>
      </c>
    </row>
    <row r="330" spans="1:10" x14ac:dyDescent="0.4">
      <c r="A330">
        <f t="shared" si="160"/>
        <v>314990.46999999997</v>
      </c>
      <c r="B330">
        <f t="shared" si="158"/>
        <v>315000</v>
      </c>
      <c r="E330">
        <f t="shared" si="161"/>
        <v>314982.40999999997</v>
      </c>
      <c r="F330">
        <f t="shared" si="162"/>
        <v>315000</v>
      </c>
      <c r="I330">
        <f t="shared" si="163"/>
        <v>314988</v>
      </c>
      <c r="J330">
        <f t="shared" si="159"/>
        <v>315000</v>
      </c>
    </row>
    <row r="331" spans="1:10" x14ac:dyDescent="0.4">
      <c r="A331">
        <f t="shared" si="160"/>
        <v>354990.47</v>
      </c>
      <c r="B331">
        <f t="shared" si="158"/>
        <v>355000</v>
      </c>
      <c r="E331">
        <f t="shared" si="161"/>
        <v>354982.41</v>
      </c>
      <c r="F331">
        <f t="shared" si="162"/>
        <v>355000</v>
      </c>
      <c r="I331">
        <f t="shared" si="163"/>
        <v>354988</v>
      </c>
      <c r="J331">
        <f t="shared" si="159"/>
        <v>355000</v>
      </c>
    </row>
    <row r="332" spans="1:10" x14ac:dyDescent="0.4">
      <c r="A332">
        <f t="shared" si="160"/>
        <v>399990.47</v>
      </c>
      <c r="B332">
        <f t="shared" si="158"/>
        <v>400000</v>
      </c>
      <c r="E332">
        <f t="shared" si="161"/>
        <v>399982.41</v>
      </c>
      <c r="F332">
        <f t="shared" si="162"/>
        <v>400000</v>
      </c>
      <c r="I332">
        <f t="shared" si="163"/>
        <v>399988</v>
      </c>
      <c r="J332">
        <f t="shared" si="159"/>
        <v>400000</v>
      </c>
    </row>
    <row r="333" spans="1:10" x14ac:dyDescent="0.4">
      <c r="A333">
        <f t="shared" si="160"/>
        <v>449990.47</v>
      </c>
      <c r="B333">
        <f t="shared" si="158"/>
        <v>450000</v>
      </c>
      <c r="E333">
        <f t="shared" si="161"/>
        <v>449982.41</v>
      </c>
      <c r="F333">
        <f t="shared" si="162"/>
        <v>450000</v>
      </c>
      <c r="I333">
        <f t="shared" si="163"/>
        <v>449988</v>
      </c>
      <c r="J333">
        <f t="shared" si="159"/>
        <v>450000</v>
      </c>
    </row>
    <row r="334" spans="1:10" x14ac:dyDescent="0.4">
      <c r="A334">
        <f t="shared" si="160"/>
        <v>499990.47</v>
      </c>
      <c r="B334">
        <f t="shared" si="158"/>
        <v>500000</v>
      </c>
      <c r="E334">
        <f t="shared" si="161"/>
        <v>499982.41</v>
      </c>
      <c r="F334">
        <f t="shared" si="162"/>
        <v>500000</v>
      </c>
      <c r="I334">
        <f t="shared" si="163"/>
        <v>499988</v>
      </c>
      <c r="J334">
        <f t="shared" si="159"/>
        <v>500000</v>
      </c>
    </row>
    <row r="335" spans="1:10" x14ac:dyDescent="0.4">
      <c r="A335">
        <f t="shared" si="160"/>
        <v>559990.47</v>
      </c>
      <c r="B335">
        <f t="shared" si="158"/>
        <v>560000</v>
      </c>
      <c r="E335">
        <f t="shared" si="161"/>
        <v>559982.41</v>
      </c>
      <c r="F335">
        <f t="shared" si="162"/>
        <v>560000</v>
      </c>
      <c r="I335">
        <f t="shared" si="163"/>
        <v>559988</v>
      </c>
      <c r="J335">
        <f t="shared" si="159"/>
        <v>560000</v>
      </c>
    </row>
    <row r="336" spans="1:10" x14ac:dyDescent="0.4">
      <c r="A336">
        <f t="shared" si="160"/>
        <v>629990.47</v>
      </c>
      <c r="B336">
        <f t="shared" si="158"/>
        <v>630000</v>
      </c>
      <c r="E336">
        <f t="shared" si="161"/>
        <v>629982.41</v>
      </c>
      <c r="F336">
        <f t="shared" si="162"/>
        <v>630000</v>
      </c>
      <c r="I336">
        <f t="shared" si="163"/>
        <v>629988</v>
      </c>
      <c r="J336">
        <f t="shared" si="159"/>
        <v>630000</v>
      </c>
    </row>
    <row r="337" spans="1:27" x14ac:dyDescent="0.4">
      <c r="A337">
        <f t="shared" si="160"/>
        <v>709990.47</v>
      </c>
      <c r="B337">
        <f t="shared" si="158"/>
        <v>710000</v>
      </c>
      <c r="E337">
        <f t="shared" si="161"/>
        <v>709982.41</v>
      </c>
      <c r="F337">
        <f t="shared" si="162"/>
        <v>710000</v>
      </c>
      <c r="I337">
        <f t="shared" si="163"/>
        <v>709988</v>
      </c>
      <c r="J337">
        <f t="shared" si="159"/>
        <v>710000</v>
      </c>
    </row>
    <row r="338" spans="1:27" x14ac:dyDescent="0.4">
      <c r="A338">
        <f t="shared" si="160"/>
        <v>799990.47</v>
      </c>
      <c r="B338">
        <f t="shared" si="158"/>
        <v>800000</v>
      </c>
      <c r="E338">
        <f t="shared" si="161"/>
        <v>799982.41</v>
      </c>
      <c r="F338">
        <f t="shared" si="162"/>
        <v>800000</v>
      </c>
      <c r="I338">
        <f t="shared" si="163"/>
        <v>799988</v>
      </c>
      <c r="J338">
        <f t="shared" si="159"/>
        <v>800000</v>
      </c>
    </row>
    <row r="339" spans="1:27" x14ac:dyDescent="0.4">
      <c r="A339">
        <f t="shared" si="160"/>
        <v>899990.47</v>
      </c>
      <c r="B339">
        <f t="shared" si="158"/>
        <v>900000</v>
      </c>
      <c r="E339">
        <f t="shared" si="161"/>
        <v>899982.41</v>
      </c>
      <c r="F339">
        <f t="shared" si="162"/>
        <v>900000</v>
      </c>
      <c r="I339">
        <f t="shared" si="163"/>
        <v>899988</v>
      </c>
      <c r="J339">
        <f t="shared" si="159"/>
        <v>900000</v>
      </c>
    </row>
    <row r="340" spans="1:27" x14ac:dyDescent="0.4">
      <c r="A340">
        <f t="shared" si="160"/>
        <v>999990.47</v>
      </c>
      <c r="B340">
        <f t="shared" si="158"/>
        <v>1000000</v>
      </c>
      <c r="E340">
        <f t="shared" si="161"/>
        <v>999982.41</v>
      </c>
      <c r="F340">
        <f t="shared" si="162"/>
        <v>1000000</v>
      </c>
      <c r="I340">
        <f t="shared" si="163"/>
        <v>999988</v>
      </c>
      <c r="J340">
        <f t="shared" si="159"/>
        <v>1000000</v>
      </c>
    </row>
    <row r="342" spans="1:27" x14ac:dyDescent="0.4">
      <c r="A342" t="s">
        <v>826</v>
      </c>
      <c r="B342" t="s">
        <v>780</v>
      </c>
      <c r="C342" t="s">
        <v>252</v>
      </c>
      <c r="E342" t="s">
        <v>827</v>
      </c>
      <c r="F342" t="s">
        <v>780</v>
      </c>
      <c r="G342" t="s">
        <v>828</v>
      </c>
      <c r="I342" t="s">
        <v>829</v>
      </c>
      <c r="J342" t="s">
        <v>780</v>
      </c>
      <c r="K342" t="s">
        <v>829</v>
      </c>
      <c r="M342" t="s">
        <v>244</v>
      </c>
      <c r="N342" t="s">
        <v>780</v>
      </c>
      <c r="O342" t="s">
        <v>244</v>
      </c>
      <c r="Q342" t="s">
        <v>830</v>
      </c>
      <c r="R342" t="s">
        <v>780</v>
      </c>
      <c r="S342" t="s">
        <v>244</v>
      </c>
      <c r="U342" t="s">
        <v>108</v>
      </c>
      <c r="V342" t="s">
        <v>780</v>
      </c>
      <c r="W342" t="s">
        <v>244</v>
      </c>
      <c r="Y342" t="s">
        <v>305</v>
      </c>
      <c r="Z342" t="s">
        <v>780</v>
      </c>
      <c r="AA342" t="s">
        <v>305</v>
      </c>
    </row>
    <row r="343" spans="1:27" x14ac:dyDescent="0.4">
      <c r="A343">
        <f>ROUNDDOWN(B歯車!D9,-1)</f>
        <v>60</v>
      </c>
      <c r="B343">
        <f>IF(SMALL(A345:A625,COUNTIF(A345:A625,"&lt;=0"))=0,SMALL(A345:A625,COUNTIF(A345:A625,"&lt;=0")),SMALL(A345:A625,COUNTIF(A345:A625,"&lt;=0")+1))</f>
        <v>0</v>
      </c>
      <c r="C343">
        <f>VLOOKUP(B343,A345:B625,2,FALSE)</f>
        <v>60</v>
      </c>
      <c r="E343">
        <f>B歯車!D11</f>
        <v>48</v>
      </c>
      <c r="F343">
        <f>IF(SMALL(E345:E625,COUNTIF(E345:E625,"&lt;=0"))=0,SMALL(E345:E625,COUNTIF(E345:E625,"&lt;=0")),SMALL(E345:E625,COUNTIF(E345:E625,"&lt;=0")+1))</f>
        <v>2</v>
      </c>
      <c r="G343">
        <f>VLOOKUP(F343,E345:F625,2,FALSE)</f>
        <v>50</v>
      </c>
      <c r="I343">
        <f>ROUNDDOWN(B歯車!D15,0)</f>
        <v>53</v>
      </c>
      <c r="J343">
        <f>IF(SMALL(I345:I625,COUNTIF(I345:I625,"&lt;=0"))=0,SMALL(I345:I625,COUNTIF(I345:I625,"&lt;=0")),SMALL(I345:I625,COUNTIF(I345:I625,"&lt;=0")+1))</f>
        <v>0</v>
      </c>
      <c r="K343">
        <f>VLOOKUP(J343,I345:J625,2,FALSE)</f>
        <v>53.000000000000007</v>
      </c>
      <c r="M343">
        <f>B歯車!D17</f>
        <v>12</v>
      </c>
      <c r="N343">
        <f>IF(SMALL(M345:M625,COUNTIF(M345:M625,"&lt;=0"))=0,SMALL(M345:M625,COUNTIF(M345:M625,"&lt;=0")),SMALL(M345:M625,COUNTIF(M345:M625,"&lt;=0")+1))</f>
        <v>0.5</v>
      </c>
      <c r="O343">
        <f>VLOOKUP(N343,M345:N625,2,FALSE)</f>
        <v>12.5</v>
      </c>
      <c r="Q343">
        <f>ROUND(AVERAGE('例題11.1'!H11:H12),-1)</f>
        <v>580</v>
      </c>
      <c r="R343">
        <f>IF(SMALL(Q345:Q625,COUNTIF(Q345:Q625,"&lt;=0"))=0,SMALL(Q345:Q625,COUNTIF(Q345:Q625,"&lt;=0")),SMALL(Q345:Q625,COUNTIF(Q345:Q625,"&lt;=0")+1))</f>
        <v>20</v>
      </c>
      <c r="S343">
        <f>VLOOKUP(R343,Q345:R625,2,FALSE)</f>
        <v>600</v>
      </c>
      <c r="U343">
        <f>ROUND(AVERAGE('例題11.1'!H14:H15),-1)</f>
        <v>500</v>
      </c>
      <c r="V343">
        <f>IF(SMALL(U345:U625,COUNTIF(U345:U625,"&lt;=0"))=0,SMALL(U345:U625,COUNTIF(U345:U625,"&lt;=0")),SMALL(U345:U625,COUNTIF(U345:U625,"&lt;=0")+1))</f>
        <v>0</v>
      </c>
      <c r="W343">
        <f>VLOOKUP(V343,U345:V625,2,FALSE)</f>
        <v>500</v>
      </c>
      <c r="Y343">
        <f>AVERAGE('例題11.2'!D4:D5)</f>
        <v>38</v>
      </c>
      <c r="Z343">
        <f>IF(SMALL(Y345:Y625,COUNTIF(Y345:Y625,"&lt;=0"))=0,SMALL(Y345:Y625,COUNTIF(Y345:Y625,"&lt;=0")),SMALL(Y345:Y625,COUNTIF(Y345:Y625,"&lt;=0")+1))</f>
        <v>2</v>
      </c>
      <c r="AA343">
        <f>VLOOKUP(Z343,Y345:Z625,2,FALSE)</f>
        <v>40</v>
      </c>
    </row>
    <row r="344" spans="1:27" x14ac:dyDescent="0.4">
      <c r="A344" t="str">
        <f>A199</f>
        <v>差</v>
      </c>
      <c r="B344" t="s">
        <v>661</v>
      </c>
      <c r="E344" t="str">
        <f>A344</f>
        <v>差</v>
      </c>
      <c r="F344" t="str">
        <f>B344</f>
        <v>R40</v>
      </c>
      <c r="I344" t="str">
        <f>E344</f>
        <v>差</v>
      </c>
      <c r="J344" t="str">
        <f>F344</f>
        <v>R40</v>
      </c>
      <c r="M344" t="str">
        <f>I344</f>
        <v>差</v>
      </c>
      <c r="N344" t="str">
        <f>J344</f>
        <v>R40</v>
      </c>
      <c r="Q344" t="str">
        <f>M344</f>
        <v>差</v>
      </c>
      <c r="R344" t="str">
        <f>N344</f>
        <v>R40</v>
      </c>
      <c r="U344" t="str">
        <f>Q344</f>
        <v>差</v>
      </c>
      <c r="V344" t="str">
        <f t="shared" ref="V344:V407" si="164">R344</f>
        <v>R40</v>
      </c>
      <c r="Y344" t="str">
        <f>U344</f>
        <v>差</v>
      </c>
      <c r="Z344" t="str">
        <f t="shared" ref="Z344:Z407" si="165">V344</f>
        <v>R40</v>
      </c>
    </row>
    <row r="345" spans="1:27" x14ac:dyDescent="0.4">
      <c r="A345">
        <f>B345-$A$343</f>
        <v>-59.9</v>
      </c>
      <c r="B345">
        <f>教科書付表!D3</f>
        <v>0.1</v>
      </c>
      <c r="E345">
        <f>F345-$E$343</f>
        <v>-47.9</v>
      </c>
      <c r="F345">
        <f t="shared" ref="F345:F408" si="166">B345</f>
        <v>0.1</v>
      </c>
      <c r="I345">
        <f>J345-$I$343</f>
        <v>-52.9</v>
      </c>
      <c r="J345">
        <f t="shared" ref="J345:J408" si="167">F345</f>
        <v>0.1</v>
      </c>
      <c r="M345">
        <f>N345-$M$343</f>
        <v>-11.9</v>
      </c>
      <c r="N345">
        <f t="shared" ref="N345:N408" si="168">J345</f>
        <v>0.1</v>
      </c>
      <c r="Q345">
        <f>R345-$Q$343</f>
        <v>-579.9</v>
      </c>
      <c r="R345">
        <f t="shared" ref="R345:R408" si="169">N345</f>
        <v>0.1</v>
      </c>
      <c r="U345">
        <f>V345-$U$343</f>
        <v>-499.9</v>
      </c>
      <c r="V345">
        <f t="shared" si="164"/>
        <v>0.1</v>
      </c>
      <c r="Y345">
        <f>Z345-$Y$343</f>
        <v>-37.9</v>
      </c>
      <c r="Z345">
        <f t="shared" si="165"/>
        <v>0.1</v>
      </c>
    </row>
    <row r="346" spans="1:27" x14ac:dyDescent="0.4">
      <c r="A346">
        <f t="shared" ref="A346:A409" si="170">B346-$A$343</f>
        <v>-59.893999999999998</v>
      </c>
      <c r="B346">
        <f>教科書付表!D4</f>
        <v>0.10600000000000001</v>
      </c>
      <c r="E346">
        <f t="shared" ref="E346:E409" si="171">F346-$E$343</f>
        <v>-47.893999999999998</v>
      </c>
      <c r="F346">
        <f t="shared" si="166"/>
        <v>0.10600000000000001</v>
      </c>
      <c r="I346">
        <f t="shared" ref="I346:I409" si="172">J346-$I$343</f>
        <v>-52.893999999999998</v>
      </c>
      <c r="J346">
        <f t="shared" si="167"/>
        <v>0.10600000000000001</v>
      </c>
      <c r="M346">
        <f t="shared" ref="M346:M409" si="173">N346-$M$343</f>
        <v>-11.894</v>
      </c>
      <c r="N346">
        <f t="shared" si="168"/>
        <v>0.10600000000000001</v>
      </c>
      <c r="Q346">
        <f t="shared" ref="Q346:Q409" si="174">R346-$Q$343</f>
        <v>-579.89400000000001</v>
      </c>
      <c r="R346">
        <f t="shared" si="169"/>
        <v>0.10600000000000001</v>
      </c>
      <c r="U346">
        <f t="shared" ref="U346:U409" si="175">V346-$U$343</f>
        <v>-499.89400000000001</v>
      </c>
      <c r="V346">
        <f t="shared" si="164"/>
        <v>0.10600000000000001</v>
      </c>
      <c r="Y346">
        <f t="shared" ref="Y346:Y409" si="176">Z346-$Y$343</f>
        <v>-37.893999999999998</v>
      </c>
      <c r="Z346">
        <f t="shared" si="165"/>
        <v>0.10600000000000001</v>
      </c>
    </row>
    <row r="347" spans="1:27" x14ac:dyDescent="0.4">
      <c r="A347">
        <f t="shared" si="170"/>
        <v>-59.887999999999998</v>
      </c>
      <c r="B347">
        <f>教科書付表!D5</f>
        <v>0.11200000000000002</v>
      </c>
      <c r="E347">
        <f t="shared" si="171"/>
        <v>-47.887999999999998</v>
      </c>
      <c r="F347">
        <f t="shared" si="166"/>
        <v>0.11200000000000002</v>
      </c>
      <c r="I347">
        <f t="shared" si="172"/>
        <v>-52.887999999999998</v>
      </c>
      <c r="J347">
        <f t="shared" si="167"/>
        <v>0.11200000000000002</v>
      </c>
      <c r="M347">
        <f t="shared" si="173"/>
        <v>-11.888</v>
      </c>
      <c r="N347">
        <f t="shared" si="168"/>
        <v>0.11200000000000002</v>
      </c>
      <c r="Q347">
        <f t="shared" si="174"/>
        <v>-579.88800000000003</v>
      </c>
      <c r="R347">
        <f t="shared" si="169"/>
        <v>0.11200000000000002</v>
      </c>
      <c r="U347">
        <f t="shared" si="175"/>
        <v>-499.88799999999998</v>
      </c>
      <c r="V347">
        <f t="shared" si="164"/>
        <v>0.11200000000000002</v>
      </c>
      <c r="Y347">
        <f t="shared" si="176"/>
        <v>-37.887999999999998</v>
      </c>
      <c r="Z347">
        <f t="shared" si="165"/>
        <v>0.11200000000000002</v>
      </c>
    </row>
    <row r="348" spans="1:27" x14ac:dyDescent="0.4">
      <c r="A348">
        <f t="shared" si="170"/>
        <v>-59.881999999999998</v>
      </c>
      <c r="B348">
        <f>教科書付表!D6</f>
        <v>0.11799999999999999</v>
      </c>
      <c r="E348">
        <f t="shared" si="171"/>
        <v>-47.881999999999998</v>
      </c>
      <c r="F348">
        <f t="shared" si="166"/>
        <v>0.11799999999999999</v>
      </c>
      <c r="I348">
        <f t="shared" si="172"/>
        <v>-52.881999999999998</v>
      </c>
      <c r="J348">
        <f t="shared" si="167"/>
        <v>0.11799999999999999</v>
      </c>
      <c r="M348">
        <f t="shared" si="173"/>
        <v>-11.882</v>
      </c>
      <c r="N348">
        <f t="shared" si="168"/>
        <v>0.11799999999999999</v>
      </c>
      <c r="Q348">
        <f t="shared" si="174"/>
        <v>-579.88199999999995</v>
      </c>
      <c r="R348">
        <f t="shared" si="169"/>
        <v>0.11799999999999999</v>
      </c>
      <c r="U348">
        <f t="shared" si="175"/>
        <v>-499.88200000000001</v>
      </c>
      <c r="V348">
        <f t="shared" si="164"/>
        <v>0.11799999999999999</v>
      </c>
      <c r="Y348">
        <f t="shared" si="176"/>
        <v>-37.881999999999998</v>
      </c>
      <c r="Z348">
        <f t="shared" si="165"/>
        <v>0.11799999999999999</v>
      </c>
    </row>
    <row r="349" spans="1:27" x14ac:dyDescent="0.4">
      <c r="A349">
        <f t="shared" si="170"/>
        <v>-59.875</v>
      </c>
      <c r="B349">
        <f>教科書付表!D7</f>
        <v>0.125</v>
      </c>
      <c r="E349">
        <f t="shared" si="171"/>
        <v>-47.875</v>
      </c>
      <c r="F349">
        <f t="shared" si="166"/>
        <v>0.125</v>
      </c>
      <c r="I349">
        <f t="shared" si="172"/>
        <v>-52.875</v>
      </c>
      <c r="J349">
        <f t="shared" si="167"/>
        <v>0.125</v>
      </c>
      <c r="M349">
        <f t="shared" si="173"/>
        <v>-11.875</v>
      </c>
      <c r="N349">
        <f t="shared" si="168"/>
        <v>0.125</v>
      </c>
      <c r="Q349">
        <f t="shared" si="174"/>
        <v>-579.875</v>
      </c>
      <c r="R349">
        <f t="shared" si="169"/>
        <v>0.125</v>
      </c>
      <c r="U349">
        <f t="shared" si="175"/>
        <v>-499.875</v>
      </c>
      <c r="V349">
        <f t="shared" si="164"/>
        <v>0.125</v>
      </c>
      <c r="Y349">
        <f t="shared" si="176"/>
        <v>-37.875</v>
      </c>
      <c r="Z349">
        <f t="shared" si="165"/>
        <v>0.125</v>
      </c>
    </row>
    <row r="350" spans="1:27" x14ac:dyDescent="0.4">
      <c r="A350">
        <f t="shared" si="170"/>
        <v>-59.868000000000002</v>
      </c>
      <c r="B350">
        <f>教科書付表!D8</f>
        <v>0.13200000000000001</v>
      </c>
      <c r="E350">
        <f t="shared" si="171"/>
        <v>-47.868000000000002</v>
      </c>
      <c r="F350">
        <f t="shared" si="166"/>
        <v>0.13200000000000001</v>
      </c>
      <c r="I350">
        <f t="shared" si="172"/>
        <v>-52.868000000000002</v>
      </c>
      <c r="J350">
        <f t="shared" si="167"/>
        <v>0.13200000000000001</v>
      </c>
      <c r="M350">
        <f t="shared" si="173"/>
        <v>-11.868</v>
      </c>
      <c r="N350">
        <f t="shared" si="168"/>
        <v>0.13200000000000001</v>
      </c>
      <c r="Q350">
        <f t="shared" si="174"/>
        <v>-579.86800000000005</v>
      </c>
      <c r="R350">
        <f t="shared" si="169"/>
        <v>0.13200000000000001</v>
      </c>
      <c r="U350">
        <f t="shared" si="175"/>
        <v>-499.86799999999999</v>
      </c>
      <c r="V350">
        <f t="shared" si="164"/>
        <v>0.13200000000000001</v>
      </c>
      <c r="Y350">
        <f t="shared" si="176"/>
        <v>-37.868000000000002</v>
      </c>
      <c r="Z350">
        <f t="shared" si="165"/>
        <v>0.13200000000000001</v>
      </c>
    </row>
    <row r="351" spans="1:27" x14ac:dyDescent="0.4">
      <c r="A351">
        <f t="shared" si="170"/>
        <v>-59.86</v>
      </c>
      <c r="B351">
        <f>教科書付表!D9</f>
        <v>0.13999999999999999</v>
      </c>
      <c r="E351">
        <f t="shared" si="171"/>
        <v>-47.86</v>
      </c>
      <c r="F351">
        <f t="shared" si="166"/>
        <v>0.13999999999999999</v>
      </c>
      <c r="I351">
        <f t="shared" si="172"/>
        <v>-52.86</v>
      </c>
      <c r="J351">
        <f t="shared" si="167"/>
        <v>0.13999999999999999</v>
      </c>
      <c r="M351">
        <f t="shared" si="173"/>
        <v>-11.86</v>
      </c>
      <c r="N351">
        <f t="shared" si="168"/>
        <v>0.13999999999999999</v>
      </c>
      <c r="Q351">
        <f t="shared" si="174"/>
        <v>-579.86</v>
      </c>
      <c r="R351">
        <f t="shared" si="169"/>
        <v>0.13999999999999999</v>
      </c>
      <c r="U351">
        <f t="shared" si="175"/>
        <v>-499.86</v>
      </c>
      <c r="V351">
        <f t="shared" si="164"/>
        <v>0.13999999999999999</v>
      </c>
      <c r="Y351">
        <f t="shared" si="176"/>
        <v>-37.86</v>
      </c>
      <c r="Z351">
        <f t="shared" si="165"/>
        <v>0.13999999999999999</v>
      </c>
    </row>
    <row r="352" spans="1:27" x14ac:dyDescent="0.4">
      <c r="A352">
        <f t="shared" si="170"/>
        <v>-59.85</v>
      </c>
      <c r="B352">
        <f>教科書付表!D10</f>
        <v>0.15</v>
      </c>
      <c r="E352">
        <f t="shared" si="171"/>
        <v>-47.85</v>
      </c>
      <c r="F352">
        <f t="shared" si="166"/>
        <v>0.15</v>
      </c>
      <c r="I352">
        <f t="shared" si="172"/>
        <v>-52.85</v>
      </c>
      <c r="J352">
        <f t="shared" si="167"/>
        <v>0.15</v>
      </c>
      <c r="M352">
        <f t="shared" si="173"/>
        <v>-11.85</v>
      </c>
      <c r="N352">
        <f t="shared" si="168"/>
        <v>0.15</v>
      </c>
      <c r="Q352">
        <f t="shared" si="174"/>
        <v>-579.85</v>
      </c>
      <c r="R352">
        <f t="shared" si="169"/>
        <v>0.15</v>
      </c>
      <c r="U352">
        <f t="shared" si="175"/>
        <v>-499.85</v>
      </c>
      <c r="V352">
        <f t="shared" si="164"/>
        <v>0.15</v>
      </c>
      <c r="Y352">
        <f t="shared" si="176"/>
        <v>-37.85</v>
      </c>
      <c r="Z352">
        <f t="shared" si="165"/>
        <v>0.15</v>
      </c>
    </row>
    <row r="353" spans="1:26" x14ac:dyDescent="0.4">
      <c r="A353">
        <f t="shared" si="170"/>
        <v>-59.84</v>
      </c>
      <c r="B353">
        <f>教科書付表!D11</f>
        <v>0.16</v>
      </c>
      <c r="E353">
        <f t="shared" si="171"/>
        <v>-47.84</v>
      </c>
      <c r="F353">
        <f t="shared" si="166"/>
        <v>0.16</v>
      </c>
      <c r="I353">
        <f t="shared" si="172"/>
        <v>-52.84</v>
      </c>
      <c r="J353">
        <f t="shared" si="167"/>
        <v>0.16</v>
      </c>
      <c r="M353">
        <f t="shared" si="173"/>
        <v>-11.84</v>
      </c>
      <c r="N353">
        <f t="shared" si="168"/>
        <v>0.16</v>
      </c>
      <c r="Q353">
        <f t="shared" si="174"/>
        <v>-579.84</v>
      </c>
      <c r="R353">
        <f t="shared" si="169"/>
        <v>0.16</v>
      </c>
      <c r="U353">
        <f t="shared" si="175"/>
        <v>-499.84</v>
      </c>
      <c r="V353">
        <f t="shared" si="164"/>
        <v>0.16</v>
      </c>
      <c r="Y353">
        <f t="shared" si="176"/>
        <v>-37.840000000000003</v>
      </c>
      <c r="Z353">
        <f t="shared" si="165"/>
        <v>0.16</v>
      </c>
    </row>
    <row r="354" spans="1:26" x14ac:dyDescent="0.4">
      <c r="A354">
        <f t="shared" si="170"/>
        <v>-59.83</v>
      </c>
      <c r="B354">
        <f>教科書付表!D12</f>
        <v>0.16999999999999998</v>
      </c>
      <c r="E354">
        <f t="shared" si="171"/>
        <v>-47.83</v>
      </c>
      <c r="F354">
        <f t="shared" si="166"/>
        <v>0.16999999999999998</v>
      </c>
      <c r="I354">
        <f t="shared" si="172"/>
        <v>-52.83</v>
      </c>
      <c r="J354">
        <f t="shared" si="167"/>
        <v>0.16999999999999998</v>
      </c>
      <c r="M354">
        <f t="shared" si="173"/>
        <v>-11.83</v>
      </c>
      <c r="N354">
        <f t="shared" si="168"/>
        <v>0.16999999999999998</v>
      </c>
      <c r="Q354">
        <f t="shared" si="174"/>
        <v>-579.83000000000004</v>
      </c>
      <c r="R354">
        <f t="shared" si="169"/>
        <v>0.16999999999999998</v>
      </c>
      <c r="U354">
        <f t="shared" si="175"/>
        <v>-499.83</v>
      </c>
      <c r="V354">
        <f t="shared" si="164"/>
        <v>0.16999999999999998</v>
      </c>
      <c r="Y354">
        <f t="shared" si="176"/>
        <v>-37.83</v>
      </c>
      <c r="Z354">
        <f t="shared" si="165"/>
        <v>0.16999999999999998</v>
      </c>
    </row>
    <row r="355" spans="1:26" x14ac:dyDescent="0.4">
      <c r="A355">
        <f t="shared" si="170"/>
        <v>-59.82</v>
      </c>
      <c r="B355">
        <f>教科書付表!D13</f>
        <v>0.18</v>
      </c>
      <c r="E355">
        <f t="shared" si="171"/>
        <v>-47.82</v>
      </c>
      <c r="F355">
        <f t="shared" si="166"/>
        <v>0.18</v>
      </c>
      <c r="I355">
        <f t="shared" si="172"/>
        <v>-52.82</v>
      </c>
      <c r="J355">
        <f t="shared" si="167"/>
        <v>0.18</v>
      </c>
      <c r="M355">
        <f t="shared" si="173"/>
        <v>-11.82</v>
      </c>
      <c r="N355">
        <f t="shared" si="168"/>
        <v>0.18</v>
      </c>
      <c r="Q355">
        <f t="shared" si="174"/>
        <v>-579.82000000000005</v>
      </c>
      <c r="R355">
        <f t="shared" si="169"/>
        <v>0.18</v>
      </c>
      <c r="U355">
        <f t="shared" si="175"/>
        <v>-499.82</v>
      </c>
      <c r="V355">
        <f t="shared" si="164"/>
        <v>0.18</v>
      </c>
      <c r="Y355">
        <f t="shared" si="176"/>
        <v>-37.82</v>
      </c>
      <c r="Z355">
        <f t="shared" si="165"/>
        <v>0.18</v>
      </c>
    </row>
    <row r="356" spans="1:26" x14ac:dyDescent="0.4">
      <c r="A356">
        <f t="shared" si="170"/>
        <v>-59.81</v>
      </c>
      <c r="B356">
        <f>教科書付表!D14</f>
        <v>0.19</v>
      </c>
      <c r="E356">
        <f t="shared" si="171"/>
        <v>-47.81</v>
      </c>
      <c r="F356">
        <f t="shared" si="166"/>
        <v>0.19</v>
      </c>
      <c r="I356">
        <f t="shared" si="172"/>
        <v>-52.81</v>
      </c>
      <c r="J356">
        <f t="shared" si="167"/>
        <v>0.19</v>
      </c>
      <c r="M356">
        <f t="shared" si="173"/>
        <v>-11.81</v>
      </c>
      <c r="N356">
        <f t="shared" si="168"/>
        <v>0.19</v>
      </c>
      <c r="Q356">
        <f t="shared" si="174"/>
        <v>-579.80999999999995</v>
      </c>
      <c r="R356">
        <f t="shared" si="169"/>
        <v>0.19</v>
      </c>
      <c r="U356">
        <f t="shared" si="175"/>
        <v>-499.81</v>
      </c>
      <c r="V356">
        <f t="shared" si="164"/>
        <v>0.19</v>
      </c>
      <c r="Y356">
        <f t="shared" si="176"/>
        <v>-37.81</v>
      </c>
      <c r="Z356">
        <f t="shared" si="165"/>
        <v>0.19</v>
      </c>
    </row>
    <row r="357" spans="1:26" x14ac:dyDescent="0.4">
      <c r="A357">
        <f t="shared" si="170"/>
        <v>-59.8</v>
      </c>
      <c r="B357">
        <f>教科書付表!D15</f>
        <v>0.2</v>
      </c>
      <c r="E357">
        <f t="shared" si="171"/>
        <v>-47.8</v>
      </c>
      <c r="F357">
        <f t="shared" si="166"/>
        <v>0.2</v>
      </c>
      <c r="I357">
        <f t="shared" si="172"/>
        <v>-52.8</v>
      </c>
      <c r="J357">
        <f t="shared" si="167"/>
        <v>0.2</v>
      </c>
      <c r="M357">
        <f t="shared" si="173"/>
        <v>-11.8</v>
      </c>
      <c r="N357">
        <f t="shared" si="168"/>
        <v>0.2</v>
      </c>
      <c r="Q357">
        <f t="shared" si="174"/>
        <v>-579.79999999999995</v>
      </c>
      <c r="R357">
        <f t="shared" si="169"/>
        <v>0.2</v>
      </c>
      <c r="U357">
        <f t="shared" si="175"/>
        <v>-499.8</v>
      </c>
      <c r="V357">
        <f t="shared" si="164"/>
        <v>0.2</v>
      </c>
      <c r="Y357">
        <f t="shared" si="176"/>
        <v>-37.799999999999997</v>
      </c>
      <c r="Z357">
        <f t="shared" si="165"/>
        <v>0.2</v>
      </c>
    </row>
    <row r="358" spans="1:26" x14ac:dyDescent="0.4">
      <c r="A358">
        <f t="shared" si="170"/>
        <v>-59.787999999999997</v>
      </c>
      <c r="B358">
        <f>教科書付表!D16</f>
        <v>0.21200000000000002</v>
      </c>
      <c r="E358">
        <f t="shared" si="171"/>
        <v>-47.787999999999997</v>
      </c>
      <c r="F358">
        <f t="shared" si="166"/>
        <v>0.21200000000000002</v>
      </c>
      <c r="I358">
        <f t="shared" si="172"/>
        <v>-52.787999999999997</v>
      </c>
      <c r="J358">
        <f t="shared" si="167"/>
        <v>0.21200000000000002</v>
      </c>
      <c r="M358">
        <f t="shared" si="173"/>
        <v>-11.788</v>
      </c>
      <c r="N358">
        <f t="shared" si="168"/>
        <v>0.21200000000000002</v>
      </c>
      <c r="Q358">
        <f t="shared" si="174"/>
        <v>-579.78800000000001</v>
      </c>
      <c r="R358">
        <f t="shared" si="169"/>
        <v>0.21200000000000002</v>
      </c>
      <c r="U358">
        <f t="shared" si="175"/>
        <v>-499.78800000000001</v>
      </c>
      <c r="V358">
        <f t="shared" si="164"/>
        <v>0.21200000000000002</v>
      </c>
      <c r="Y358">
        <f t="shared" si="176"/>
        <v>-37.787999999999997</v>
      </c>
      <c r="Z358">
        <f t="shared" si="165"/>
        <v>0.21200000000000002</v>
      </c>
    </row>
    <row r="359" spans="1:26" x14ac:dyDescent="0.4">
      <c r="A359">
        <f t="shared" si="170"/>
        <v>-59.776000000000003</v>
      </c>
      <c r="B359">
        <f>教科書付表!D17</f>
        <v>0.22400000000000003</v>
      </c>
      <c r="E359">
        <f t="shared" si="171"/>
        <v>-47.776000000000003</v>
      </c>
      <c r="F359">
        <f t="shared" si="166"/>
        <v>0.22400000000000003</v>
      </c>
      <c r="I359">
        <f t="shared" si="172"/>
        <v>-52.776000000000003</v>
      </c>
      <c r="J359">
        <f t="shared" si="167"/>
        <v>0.22400000000000003</v>
      </c>
      <c r="M359">
        <f t="shared" si="173"/>
        <v>-11.776</v>
      </c>
      <c r="N359">
        <f t="shared" si="168"/>
        <v>0.22400000000000003</v>
      </c>
      <c r="Q359">
        <f t="shared" si="174"/>
        <v>-579.77599999999995</v>
      </c>
      <c r="R359">
        <f t="shared" si="169"/>
        <v>0.22400000000000003</v>
      </c>
      <c r="U359">
        <f t="shared" si="175"/>
        <v>-499.77600000000001</v>
      </c>
      <c r="V359">
        <f t="shared" si="164"/>
        <v>0.22400000000000003</v>
      </c>
      <c r="Y359">
        <f t="shared" si="176"/>
        <v>-37.776000000000003</v>
      </c>
      <c r="Z359">
        <f t="shared" si="165"/>
        <v>0.22400000000000003</v>
      </c>
    </row>
    <row r="360" spans="1:26" x14ac:dyDescent="0.4">
      <c r="A360">
        <f t="shared" si="170"/>
        <v>-59.764000000000003</v>
      </c>
      <c r="B360">
        <f>教科書付表!D18</f>
        <v>0.23599999999999999</v>
      </c>
      <c r="E360">
        <f t="shared" si="171"/>
        <v>-47.764000000000003</v>
      </c>
      <c r="F360">
        <f t="shared" si="166"/>
        <v>0.23599999999999999</v>
      </c>
      <c r="I360">
        <f t="shared" si="172"/>
        <v>-52.764000000000003</v>
      </c>
      <c r="J360">
        <f t="shared" si="167"/>
        <v>0.23599999999999999</v>
      </c>
      <c r="M360">
        <f t="shared" si="173"/>
        <v>-11.763999999999999</v>
      </c>
      <c r="N360">
        <f t="shared" si="168"/>
        <v>0.23599999999999999</v>
      </c>
      <c r="Q360">
        <f t="shared" si="174"/>
        <v>-579.76400000000001</v>
      </c>
      <c r="R360">
        <f t="shared" si="169"/>
        <v>0.23599999999999999</v>
      </c>
      <c r="U360">
        <f t="shared" si="175"/>
        <v>-499.76400000000001</v>
      </c>
      <c r="V360">
        <f t="shared" si="164"/>
        <v>0.23599999999999999</v>
      </c>
      <c r="Y360">
        <f t="shared" si="176"/>
        <v>-37.764000000000003</v>
      </c>
      <c r="Z360">
        <f t="shared" si="165"/>
        <v>0.23599999999999999</v>
      </c>
    </row>
    <row r="361" spans="1:26" x14ac:dyDescent="0.4">
      <c r="A361">
        <f t="shared" si="170"/>
        <v>-59.75</v>
      </c>
      <c r="B361">
        <f>教科書付表!D19</f>
        <v>0.25</v>
      </c>
      <c r="E361">
        <f t="shared" si="171"/>
        <v>-47.75</v>
      </c>
      <c r="F361">
        <f t="shared" si="166"/>
        <v>0.25</v>
      </c>
      <c r="I361">
        <f t="shared" si="172"/>
        <v>-52.75</v>
      </c>
      <c r="J361">
        <f t="shared" si="167"/>
        <v>0.25</v>
      </c>
      <c r="M361">
        <f t="shared" si="173"/>
        <v>-11.75</v>
      </c>
      <c r="N361">
        <f t="shared" si="168"/>
        <v>0.25</v>
      </c>
      <c r="Q361">
        <f t="shared" si="174"/>
        <v>-579.75</v>
      </c>
      <c r="R361">
        <f t="shared" si="169"/>
        <v>0.25</v>
      </c>
      <c r="U361">
        <f t="shared" si="175"/>
        <v>-499.75</v>
      </c>
      <c r="V361">
        <f t="shared" si="164"/>
        <v>0.25</v>
      </c>
      <c r="Y361">
        <f t="shared" si="176"/>
        <v>-37.75</v>
      </c>
      <c r="Z361">
        <f t="shared" si="165"/>
        <v>0.25</v>
      </c>
    </row>
    <row r="362" spans="1:26" x14ac:dyDescent="0.4">
      <c r="A362">
        <f t="shared" si="170"/>
        <v>-59.734999999999999</v>
      </c>
      <c r="B362">
        <f>教科書付表!D20</f>
        <v>0.26500000000000001</v>
      </c>
      <c r="E362">
        <f t="shared" si="171"/>
        <v>-47.734999999999999</v>
      </c>
      <c r="F362">
        <f t="shared" si="166"/>
        <v>0.26500000000000001</v>
      </c>
      <c r="I362">
        <f t="shared" si="172"/>
        <v>-52.734999999999999</v>
      </c>
      <c r="J362">
        <f t="shared" si="167"/>
        <v>0.26500000000000001</v>
      </c>
      <c r="M362">
        <f t="shared" si="173"/>
        <v>-11.734999999999999</v>
      </c>
      <c r="N362">
        <f t="shared" si="168"/>
        <v>0.26500000000000001</v>
      </c>
      <c r="Q362">
        <f t="shared" si="174"/>
        <v>-579.73500000000001</v>
      </c>
      <c r="R362">
        <f t="shared" si="169"/>
        <v>0.26500000000000001</v>
      </c>
      <c r="U362">
        <f t="shared" si="175"/>
        <v>-499.73500000000001</v>
      </c>
      <c r="V362">
        <f t="shared" si="164"/>
        <v>0.26500000000000001</v>
      </c>
      <c r="Y362">
        <f t="shared" si="176"/>
        <v>-37.734999999999999</v>
      </c>
      <c r="Z362">
        <f t="shared" si="165"/>
        <v>0.26500000000000001</v>
      </c>
    </row>
    <row r="363" spans="1:26" x14ac:dyDescent="0.4">
      <c r="A363">
        <f t="shared" si="170"/>
        <v>-59.72</v>
      </c>
      <c r="B363">
        <f>教科書付表!D21</f>
        <v>0.27999999999999997</v>
      </c>
      <c r="E363">
        <f t="shared" si="171"/>
        <v>-47.72</v>
      </c>
      <c r="F363">
        <f t="shared" si="166"/>
        <v>0.27999999999999997</v>
      </c>
      <c r="I363">
        <f t="shared" si="172"/>
        <v>-52.72</v>
      </c>
      <c r="J363">
        <f t="shared" si="167"/>
        <v>0.27999999999999997</v>
      </c>
      <c r="M363">
        <f t="shared" si="173"/>
        <v>-11.72</v>
      </c>
      <c r="N363">
        <f t="shared" si="168"/>
        <v>0.27999999999999997</v>
      </c>
      <c r="Q363">
        <f t="shared" si="174"/>
        <v>-579.72</v>
      </c>
      <c r="R363">
        <f t="shared" si="169"/>
        <v>0.27999999999999997</v>
      </c>
      <c r="U363">
        <f t="shared" si="175"/>
        <v>-499.72</v>
      </c>
      <c r="V363">
        <f t="shared" si="164"/>
        <v>0.27999999999999997</v>
      </c>
      <c r="Y363">
        <f t="shared" si="176"/>
        <v>-37.72</v>
      </c>
      <c r="Z363">
        <f t="shared" si="165"/>
        <v>0.27999999999999997</v>
      </c>
    </row>
    <row r="364" spans="1:26" x14ac:dyDescent="0.4">
      <c r="A364">
        <f t="shared" si="170"/>
        <v>-59.7</v>
      </c>
      <c r="B364">
        <f>教科書付表!D22</f>
        <v>0.3</v>
      </c>
      <c r="E364">
        <f t="shared" si="171"/>
        <v>-47.7</v>
      </c>
      <c r="F364">
        <f t="shared" si="166"/>
        <v>0.3</v>
      </c>
      <c r="I364">
        <f t="shared" si="172"/>
        <v>-52.7</v>
      </c>
      <c r="J364">
        <f t="shared" si="167"/>
        <v>0.3</v>
      </c>
      <c r="M364">
        <f t="shared" si="173"/>
        <v>-11.7</v>
      </c>
      <c r="N364">
        <f t="shared" si="168"/>
        <v>0.3</v>
      </c>
      <c r="Q364">
        <f t="shared" si="174"/>
        <v>-579.70000000000005</v>
      </c>
      <c r="R364">
        <f t="shared" si="169"/>
        <v>0.3</v>
      </c>
      <c r="U364">
        <f t="shared" si="175"/>
        <v>-499.7</v>
      </c>
      <c r="V364">
        <f t="shared" si="164"/>
        <v>0.3</v>
      </c>
      <c r="Y364">
        <f t="shared" si="176"/>
        <v>-37.700000000000003</v>
      </c>
      <c r="Z364">
        <f t="shared" si="165"/>
        <v>0.3</v>
      </c>
    </row>
    <row r="365" spans="1:26" x14ac:dyDescent="0.4">
      <c r="A365">
        <f t="shared" si="170"/>
        <v>-59.685000000000002</v>
      </c>
      <c r="B365">
        <f>教科書付表!D23</f>
        <v>0.315</v>
      </c>
      <c r="E365">
        <f t="shared" si="171"/>
        <v>-47.685000000000002</v>
      </c>
      <c r="F365">
        <f t="shared" si="166"/>
        <v>0.315</v>
      </c>
      <c r="I365">
        <f t="shared" si="172"/>
        <v>-52.685000000000002</v>
      </c>
      <c r="J365">
        <f t="shared" si="167"/>
        <v>0.315</v>
      </c>
      <c r="M365">
        <f t="shared" si="173"/>
        <v>-11.685</v>
      </c>
      <c r="N365">
        <f t="shared" si="168"/>
        <v>0.315</v>
      </c>
      <c r="Q365">
        <f t="shared" si="174"/>
        <v>-579.68499999999995</v>
      </c>
      <c r="R365">
        <f t="shared" si="169"/>
        <v>0.315</v>
      </c>
      <c r="U365">
        <f t="shared" si="175"/>
        <v>-499.685</v>
      </c>
      <c r="V365">
        <f t="shared" si="164"/>
        <v>0.315</v>
      </c>
      <c r="Y365">
        <f t="shared" si="176"/>
        <v>-37.685000000000002</v>
      </c>
      <c r="Z365">
        <f t="shared" si="165"/>
        <v>0.315</v>
      </c>
    </row>
    <row r="366" spans="1:26" x14ac:dyDescent="0.4">
      <c r="A366">
        <f t="shared" si="170"/>
        <v>-59.664999999999999</v>
      </c>
      <c r="B366">
        <f>教科書付表!D24</f>
        <v>0.33500000000000002</v>
      </c>
      <c r="E366">
        <f t="shared" si="171"/>
        <v>-47.664999999999999</v>
      </c>
      <c r="F366">
        <f t="shared" si="166"/>
        <v>0.33500000000000002</v>
      </c>
      <c r="I366">
        <f t="shared" si="172"/>
        <v>-52.664999999999999</v>
      </c>
      <c r="J366">
        <f t="shared" si="167"/>
        <v>0.33500000000000002</v>
      </c>
      <c r="M366">
        <f t="shared" si="173"/>
        <v>-11.664999999999999</v>
      </c>
      <c r="N366">
        <f t="shared" si="168"/>
        <v>0.33500000000000002</v>
      </c>
      <c r="Q366">
        <f t="shared" si="174"/>
        <v>-579.66499999999996</v>
      </c>
      <c r="R366">
        <f t="shared" si="169"/>
        <v>0.33500000000000002</v>
      </c>
      <c r="U366">
        <f t="shared" si="175"/>
        <v>-499.66500000000002</v>
      </c>
      <c r="V366">
        <f t="shared" si="164"/>
        <v>0.33500000000000002</v>
      </c>
      <c r="Y366">
        <f t="shared" si="176"/>
        <v>-37.664999999999999</v>
      </c>
      <c r="Z366">
        <f t="shared" si="165"/>
        <v>0.33500000000000002</v>
      </c>
    </row>
    <row r="367" spans="1:26" x14ac:dyDescent="0.4">
      <c r="A367">
        <f t="shared" si="170"/>
        <v>-59.645000000000003</v>
      </c>
      <c r="B367">
        <f>教科書付表!D25</f>
        <v>0.35499999999999998</v>
      </c>
      <c r="E367">
        <f t="shared" si="171"/>
        <v>-47.645000000000003</v>
      </c>
      <c r="F367">
        <f t="shared" si="166"/>
        <v>0.35499999999999998</v>
      </c>
      <c r="I367">
        <f t="shared" si="172"/>
        <v>-52.645000000000003</v>
      </c>
      <c r="J367">
        <f t="shared" si="167"/>
        <v>0.35499999999999998</v>
      </c>
      <c r="M367">
        <f t="shared" si="173"/>
        <v>-11.645</v>
      </c>
      <c r="N367">
        <f t="shared" si="168"/>
        <v>0.35499999999999998</v>
      </c>
      <c r="Q367">
        <f t="shared" si="174"/>
        <v>-579.64499999999998</v>
      </c>
      <c r="R367">
        <f t="shared" si="169"/>
        <v>0.35499999999999998</v>
      </c>
      <c r="U367">
        <f t="shared" si="175"/>
        <v>-499.64499999999998</v>
      </c>
      <c r="V367">
        <f t="shared" si="164"/>
        <v>0.35499999999999998</v>
      </c>
      <c r="Y367">
        <f t="shared" si="176"/>
        <v>-37.645000000000003</v>
      </c>
      <c r="Z367">
        <f t="shared" si="165"/>
        <v>0.35499999999999998</v>
      </c>
    </row>
    <row r="368" spans="1:26" x14ac:dyDescent="0.4">
      <c r="A368">
        <f t="shared" si="170"/>
        <v>-59.625</v>
      </c>
      <c r="B368">
        <f>教科書付表!D26</f>
        <v>0.375</v>
      </c>
      <c r="E368">
        <f t="shared" si="171"/>
        <v>-47.625</v>
      </c>
      <c r="F368">
        <f t="shared" si="166"/>
        <v>0.375</v>
      </c>
      <c r="I368">
        <f t="shared" si="172"/>
        <v>-52.625</v>
      </c>
      <c r="J368">
        <f t="shared" si="167"/>
        <v>0.375</v>
      </c>
      <c r="M368">
        <f t="shared" si="173"/>
        <v>-11.625</v>
      </c>
      <c r="N368">
        <f t="shared" si="168"/>
        <v>0.375</v>
      </c>
      <c r="Q368">
        <f t="shared" si="174"/>
        <v>-579.625</v>
      </c>
      <c r="R368">
        <f t="shared" si="169"/>
        <v>0.375</v>
      </c>
      <c r="U368">
        <f t="shared" si="175"/>
        <v>-499.625</v>
      </c>
      <c r="V368">
        <f t="shared" si="164"/>
        <v>0.375</v>
      </c>
      <c r="Y368">
        <f t="shared" si="176"/>
        <v>-37.625</v>
      </c>
      <c r="Z368">
        <f t="shared" si="165"/>
        <v>0.375</v>
      </c>
    </row>
    <row r="369" spans="1:26" x14ac:dyDescent="0.4">
      <c r="A369">
        <f t="shared" si="170"/>
        <v>-59.6</v>
      </c>
      <c r="B369">
        <f>教科書付表!D27</f>
        <v>0.4</v>
      </c>
      <c r="E369">
        <f t="shared" si="171"/>
        <v>-47.6</v>
      </c>
      <c r="F369">
        <f t="shared" si="166"/>
        <v>0.4</v>
      </c>
      <c r="I369">
        <f t="shared" si="172"/>
        <v>-52.6</v>
      </c>
      <c r="J369">
        <f t="shared" si="167"/>
        <v>0.4</v>
      </c>
      <c r="M369">
        <f t="shared" si="173"/>
        <v>-11.6</v>
      </c>
      <c r="N369">
        <f t="shared" si="168"/>
        <v>0.4</v>
      </c>
      <c r="Q369">
        <f t="shared" si="174"/>
        <v>-579.6</v>
      </c>
      <c r="R369">
        <f t="shared" si="169"/>
        <v>0.4</v>
      </c>
      <c r="U369">
        <f t="shared" si="175"/>
        <v>-499.6</v>
      </c>
      <c r="V369">
        <f t="shared" si="164"/>
        <v>0.4</v>
      </c>
      <c r="Y369">
        <f t="shared" si="176"/>
        <v>-37.6</v>
      </c>
      <c r="Z369">
        <f t="shared" si="165"/>
        <v>0.4</v>
      </c>
    </row>
    <row r="370" spans="1:26" x14ac:dyDescent="0.4">
      <c r="A370">
        <f t="shared" si="170"/>
        <v>-59.575000000000003</v>
      </c>
      <c r="B370">
        <f>教科書付表!D28</f>
        <v>0.42499999999999999</v>
      </c>
      <c r="E370">
        <f t="shared" si="171"/>
        <v>-47.575000000000003</v>
      </c>
      <c r="F370">
        <f t="shared" si="166"/>
        <v>0.42499999999999999</v>
      </c>
      <c r="I370">
        <f t="shared" si="172"/>
        <v>-52.575000000000003</v>
      </c>
      <c r="J370">
        <f t="shared" si="167"/>
        <v>0.42499999999999999</v>
      </c>
      <c r="M370">
        <f t="shared" si="173"/>
        <v>-11.574999999999999</v>
      </c>
      <c r="N370">
        <f t="shared" si="168"/>
        <v>0.42499999999999999</v>
      </c>
      <c r="Q370">
        <f t="shared" si="174"/>
        <v>-579.57500000000005</v>
      </c>
      <c r="R370">
        <f t="shared" si="169"/>
        <v>0.42499999999999999</v>
      </c>
      <c r="U370">
        <f t="shared" si="175"/>
        <v>-499.57499999999999</v>
      </c>
      <c r="V370">
        <f t="shared" si="164"/>
        <v>0.42499999999999999</v>
      </c>
      <c r="Y370">
        <f t="shared" si="176"/>
        <v>-37.575000000000003</v>
      </c>
      <c r="Z370">
        <f t="shared" si="165"/>
        <v>0.42499999999999999</v>
      </c>
    </row>
    <row r="371" spans="1:26" x14ac:dyDescent="0.4">
      <c r="A371">
        <f t="shared" si="170"/>
        <v>-59.55</v>
      </c>
      <c r="B371">
        <f>教科書付表!D29</f>
        <v>0.45</v>
      </c>
      <c r="E371">
        <f t="shared" si="171"/>
        <v>-47.55</v>
      </c>
      <c r="F371">
        <f t="shared" si="166"/>
        <v>0.45</v>
      </c>
      <c r="I371">
        <f t="shared" si="172"/>
        <v>-52.55</v>
      </c>
      <c r="J371">
        <f t="shared" si="167"/>
        <v>0.45</v>
      </c>
      <c r="M371">
        <f t="shared" si="173"/>
        <v>-11.55</v>
      </c>
      <c r="N371">
        <f t="shared" si="168"/>
        <v>0.45</v>
      </c>
      <c r="Q371">
        <f t="shared" si="174"/>
        <v>-579.54999999999995</v>
      </c>
      <c r="R371">
        <f t="shared" si="169"/>
        <v>0.45</v>
      </c>
      <c r="U371">
        <f t="shared" si="175"/>
        <v>-499.55</v>
      </c>
      <c r="V371">
        <f t="shared" si="164"/>
        <v>0.45</v>
      </c>
      <c r="Y371">
        <f t="shared" si="176"/>
        <v>-37.549999999999997</v>
      </c>
      <c r="Z371">
        <f t="shared" si="165"/>
        <v>0.45</v>
      </c>
    </row>
    <row r="372" spans="1:26" x14ac:dyDescent="0.4">
      <c r="A372">
        <f t="shared" si="170"/>
        <v>-59.524999999999999</v>
      </c>
      <c r="B372">
        <f>教科書付表!D30</f>
        <v>0.47499999999999998</v>
      </c>
      <c r="E372">
        <f t="shared" si="171"/>
        <v>-47.524999999999999</v>
      </c>
      <c r="F372">
        <f t="shared" si="166"/>
        <v>0.47499999999999998</v>
      </c>
      <c r="I372">
        <f t="shared" si="172"/>
        <v>-52.524999999999999</v>
      </c>
      <c r="J372">
        <f t="shared" si="167"/>
        <v>0.47499999999999998</v>
      </c>
      <c r="M372">
        <f t="shared" si="173"/>
        <v>-11.525</v>
      </c>
      <c r="N372">
        <f t="shared" si="168"/>
        <v>0.47499999999999998</v>
      </c>
      <c r="Q372">
        <f t="shared" si="174"/>
        <v>-579.52499999999998</v>
      </c>
      <c r="R372">
        <f t="shared" si="169"/>
        <v>0.47499999999999998</v>
      </c>
      <c r="U372">
        <f t="shared" si="175"/>
        <v>-499.52499999999998</v>
      </c>
      <c r="V372">
        <f t="shared" si="164"/>
        <v>0.47499999999999998</v>
      </c>
      <c r="Y372">
        <f t="shared" si="176"/>
        <v>-37.524999999999999</v>
      </c>
      <c r="Z372">
        <f t="shared" si="165"/>
        <v>0.47499999999999998</v>
      </c>
    </row>
    <row r="373" spans="1:26" x14ac:dyDescent="0.4">
      <c r="A373">
        <f t="shared" si="170"/>
        <v>-59.5</v>
      </c>
      <c r="B373">
        <f>教科書付表!D31</f>
        <v>0.5</v>
      </c>
      <c r="E373">
        <f t="shared" si="171"/>
        <v>-47.5</v>
      </c>
      <c r="F373">
        <f t="shared" si="166"/>
        <v>0.5</v>
      </c>
      <c r="I373">
        <f t="shared" si="172"/>
        <v>-52.5</v>
      </c>
      <c r="J373">
        <f t="shared" si="167"/>
        <v>0.5</v>
      </c>
      <c r="M373">
        <f t="shared" si="173"/>
        <v>-11.5</v>
      </c>
      <c r="N373">
        <f t="shared" si="168"/>
        <v>0.5</v>
      </c>
      <c r="Q373">
        <f t="shared" si="174"/>
        <v>-579.5</v>
      </c>
      <c r="R373">
        <f t="shared" si="169"/>
        <v>0.5</v>
      </c>
      <c r="U373">
        <f t="shared" si="175"/>
        <v>-499.5</v>
      </c>
      <c r="V373">
        <f t="shared" si="164"/>
        <v>0.5</v>
      </c>
      <c r="Y373">
        <f t="shared" si="176"/>
        <v>-37.5</v>
      </c>
      <c r="Z373">
        <f t="shared" si="165"/>
        <v>0.5</v>
      </c>
    </row>
    <row r="374" spans="1:26" x14ac:dyDescent="0.4">
      <c r="A374">
        <f t="shared" si="170"/>
        <v>-59.47</v>
      </c>
      <c r="B374">
        <f>教科書付表!D32</f>
        <v>0.53</v>
      </c>
      <c r="E374">
        <f t="shared" si="171"/>
        <v>-47.47</v>
      </c>
      <c r="F374">
        <f t="shared" si="166"/>
        <v>0.53</v>
      </c>
      <c r="I374">
        <f t="shared" si="172"/>
        <v>-52.47</v>
      </c>
      <c r="J374">
        <f t="shared" si="167"/>
        <v>0.53</v>
      </c>
      <c r="M374">
        <f t="shared" si="173"/>
        <v>-11.47</v>
      </c>
      <c r="N374">
        <f t="shared" si="168"/>
        <v>0.53</v>
      </c>
      <c r="Q374">
        <f t="shared" si="174"/>
        <v>-579.47</v>
      </c>
      <c r="R374">
        <f t="shared" si="169"/>
        <v>0.53</v>
      </c>
      <c r="U374">
        <f t="shared" si="175"/>
        <v>-499.47</v>
      </c>
      <c r="V374">
        <f t="shared" si="164"/>
        <v>0.53</v>
      </c>
      <c r="Y374">
        <f t="shared" si="176"/>
        <v>-37.47</v>
      </c>
      <c r="Z374">
        <f t="shared" si="165"/>
        <v>0.53</v>
      </c>
    </row>
    <row r="375" spans="1:26" x14ac:dyDescent="0.4">
      <c r="A375">
        <f t="shared" si="170"/>
        <v>-59.44</v>
      </c>
      <c r="B375">
        <f>教科書付表!D33</f>
        <v>0.55999999999999994</v>
      </c>
      <c r="E375">
        <f t="shared" si="171"/>
        <v>-47.44</v>
      </c>
      <c r="F375">
        <f t="shared" si="166"/>
        <v>0.55999999999999994</v>
      </c>
      <c r="I375">
        <f t="shared" si="172"/>
        <v>-52.44</v>
      </c>
      <c r="J375">
        <f t="shared" si="167"/>
        <v>0.55999999999999994</v>
      </c>
      <c r="M375">
        <f t="shared" si="173"/>
        <v>-11.44</v>
      </c>
      <c r="N375">
        <f t="shared" si="168"/>
        <v>0.55999999999999994</v>
      </c>
      <c r="Q375">
        <f t="shared" si="174"/>
        <v>-579.44000000000005</v>
      </c>
      <c r="R375">
        <f t="shared" si="169"/>
        <v>0.55999999999999994</v>
      </c>
      <c r="U375">
        <f t="shared" si="175"/>
        <v>-499.44</v>
      </c>
      <c r="V375">
        <f t="shared" si="164"/>
        <v>0.55999999999999994</v>
      </c>
      <c r="Y375">
        <f t="shared" si="176"/>
        <v>-37.44</v>
      </c>
      <c r="Z375">
        <f t="shared" si="165"/>
        <v>0.55999999999999994</v>
      </c>
    </row>
    <row r="376" spans="1:26" x14ac:dyDescent="0.4">
      <c r="A376">
        <f t="shared" si="170"/>
        <v>-59.4</v>
      </c>
      <c r="B376">
        <f>教科書付表!D34</f>
        <v>0.6</v>
      </c>
      <c r="E376">
        <f t="shared" si="171"/>
        <v>-47.4</v>
      </c>
      <c r="F376">
        <f t="shared" si="166"/>
        <v>0.6</v>
      </c>
      <c r="I376">
        <f t="shared" si="172"/>
        <v>-52.4</v>
      </c>
      <c r="J376">
        <f t="shared" si="167"/>
        <v>0.6</v>
      </c>
      <c r="M376">
        <f t="shared" si="173"/>
        <v>-11.4</v>
      </c>
      <c r="N376">
        <f t="shared" si="168"/>
        <v>0.6</v>
      </c>
      <c r="Q376">
        <f t="shared" si="174"/>
        <v>-579.4</v>
      </c>
      <c r="R376">
        <f t="shared" si="169"/>
        <v>0.6</v>
      </c>
      <c r="U376">
        <f t="shared" si="175"/>
        <v>-499.4</v>
      </c>
      <c r="V376">
        <f t="shared" si="164"/>
        <v>0.6</v>
      </c>
      <c r="Y376">
        <f t="shared" si="176"/>
        <v>-37.4</v>
      </c>
      <c r="Z376">
        <f t="shared" si="165"/>
        <v>0.6</v>
      </c>
    </row>
    <row r="377" spans="1:26" x14ac:dyDescent="0.4">
      <c r="A377">
        <f t="shared" si="170"/>
        <v>-59.37</v>
      </c>
      <c r="B377">
        <f>教科書付表!D35</f>
        <v>0.63</v>
      </c>
      <c r="E377">
        <f t="shared" si="171"/>
        <v>-47.37</v>
      </c>
      <c r="F377">
        <f t="shared" si="166"/>
        <v>0.63</v>
      </c>
      <c r="I377">
        <f t="shared" si="172"/>
        <v>-52.37</v>
      </c>
      <c r="J377">
        <f t="shared" si="167"/>
        <v>0.63</v>
      </c>
      <c r="M377">
        <f t="shared" si="173"/>
        <v>-11.37</v>
      </c>
      <c r="N377">
        <f t="shared" si="168"/>
        <v>0.63</v>
      </c>
      <c r="Q377">
        <f t="shared" si="174"/>
        <v>-579.37</v>
      </c>
      <c r="R377">
        <f t="shared" si="169"/>
        <v>0.63</v>
      </c>
      <c r="U377">
        <f t="shared" si="175"/>
        <v>-499.37</v>
      </c>
      <c r="V377">
        <f t="shared" si="164"/>
        <v>0.63</v>
      </c>
      <c r="Y377">
        <f t="shared" si="176"/>
        <v>-37.369999999999997</v>
      </c>
      <c r="Z377">
        <f t="shared" si="165"/>
        <v>0.63</v>
      </c>
    </row>
    <row r="378" spans="1:26" x14ac:dyDescent="0.4">
      <c r="A378">
        <f t="shared" si="170"/>
        <v>-59.33</v>
      </c>
      <c r="B378">
        <f>教科書付表!D36</f>
        <v>0.67</v>
      </c>
      <c r="E378">
        <f t="shared" si="171"/>
        <v>-47.33</v>
      </c>
      <c r="F378">
        <f t="shared" si="166"/>
        <v>0.67</v>
      </c>
      <c r="I378">
        <f t="shared" si="172"/>
        <v>-52.33</v>
      </c>
      <c r="J378">
        <f t="shared" si="167"/>
        <v>0.67</v>
      </c>
      <c r="M378">
        <f t="shared" si="173"/>
        <v>-11.33</v>
      </c>
      <c r="N378">
        <f t="shared" si="168"/>
        <v>0.67</v>
      </c>
      <c r="Q378">
        <f t="shared" si="174"/>
        <v>-579.33000000000004</v>
      </c>
      <c r="R378">
        <f t="shared" si="169"/>
        <v>0.67</v>
      </c>
      <c r="U378">
        <f t="shared" si="175"/>
        <v>-499.33</v>
      </c>
      <c r="V378">
        <f t="shared" si="164"/>
        <v>0.67</v>
      </c>
      <c r="Y378">
        <f t="shared" si="176"/>
        <v>-37.33</v>
      </c>
      <c r="Z378">
        <f t="shared" si="165"/>
        <v>0.67</v>
      </c>
    </row>
    <row r="379" spans="1:26" x14ac:dyDescent="0.4">
      <c r="A379">
        <f t="shared" si="170"/>
        <v>-59.29</v>
      </c>
      <c r="B379">
        <f>教科書付表!D37</f>
        <v>0.71</v>
      </c>
      <c r="E379">
        <f t="shared" si="171"/>
        <v>-47.29</v>
      </c>
      <c r="F379">
        <f t="shared" si="166"/>
        <v>0.71</v>
      </c>
      <c r="I379">
        <f t="shared" si="172"/>
        <v>-52.29</v>
      </c>
      <c r="J379">
        <f t="shared" si="167"/>
        <v>0.71</v>
      </c>
      <c r="M379">
        <f t="shared" si="173"/>
        <v>-11.29</v>
      </c>
      <c r="N379">
        <f t="shared" si="168"/>
        <v>0.71</v>
      </c>
      <c r="Q379">
        <f t="shared" si="174"/>
        <v>-579.29</v>
      </c>
      <c r="R379">
        <f t="shared" si="169"/>
        <v>0.71</v>
      </c>
      <c r="U379">
        <f t="shared" si="175"/>
        <v>-499.29</v>
      </c>
      <c r="V379">
        <f t="shared" si="164"/>
        <v>0.71</v>
      </c>
      <c r="Y379">
        <f t="shared" si="176"/>
        <v>-37.29</v>
      </c>
      <c r="Z379">
        <f t="shared" si="165"/>
        <v>0.71</v>
      </c>
    </row>
    <row r="380" spans="1:26" x14ac:dyDescent="0.4">
      <c r="A380">
        <f t="shared" si="170"/>
        <v>-59.25</v>
      </c>
      <c r="B380">
        <f>教科書付表!D38</f>
        <v>0.75</v>
      </c>
      <c r="E380">
        <f t="shared" si="171"/>
        <v>-47.25</v>
      </c>
      <c r="F380">
        <f t="shared" si="166"/>
        <v>0.75</v>
      </c>
      <c r="I380">
        <f t="shared" si="172"/>
        <v>-52.25</v>
      </c>
      <c r="J380">
        <f t="shared" si="167"/>
        <v>0.75</v>
      </c>
      <c r="M380">
        <f t="shared" si="173"/>
        <v>-11.25</v>
      </c>
      <c r="N380">
        <f t="shared" si="168"/>
        <v>0.75</v>
      </c>
      <c r="Q380">
        <f t="shared" si="174"/>
        <v>-579.25</v>
      </c>
      <c r="R380">
        <f t="shared" si="169"/>
        <v>0.75</v>
      </c>
      <c r="U380">
        <f t="shared" si="175"/>
        <v>-499.25</v>
      </c>
      <c r="V380">
        <f t="shared" si="164"/>
        <v>0.75</v>
      </c>
      <c r="Y380">
        <f t="shared" si="176"/>
        <v>-37.25</v>
      </c>
      <c r="Z380">
        <f t="shared" si="165"/>
        <v>0.75</v>
      </c>
    </row>
    <row r="381" spans="1:26" x14ac:dyDescent="0.4">
      <c r="A381">
        <f t="shared" si="170"/>
        <v>-59.2</v>
      </c>
      <c r="B381">
        <f>教科書付表!D39</f>
        <v>0.8</v>
      </c>
      <c r="E381">
        <f t="shared" si="171"/>
        <v>-47.2</v>
      </c>
      <c r="F381">
        <f t="shared" si="166"/>
        <v>0.8</v>
      </c>
      <c r="I381">
        <f t="shared" si="172"/>
        <v>-52.2</v>
      </c>
      <c r="J381">
        <f t="shared" si="167"/>
        <v>0.8</v>
      </c>
      <c r="M381">
        <f t="shared" si="173"/>
        <v>-11.2</v>
      </c>
      <c r="N381">
        <f t="shared" si="168"/>
        <v>0.8</v>
      </c>
      <c r="Q381">
        <f t="shared" si="174"/>
        <v>-579.20000000000005</v>
      </c>
      <c r="R381">
        <f t="shared" si="169"/>
        <v>0.8</v>
      </c>
      <c r="U381">
        <f t="shared" si="175"/>
        <v>-499.2</v>
      </c>
      <c r="V381">
        <f t="shared" si="164"/>
        <v>0.8</v>
      </c>
      <c r="Y381">
        <f t="shared" si="176"/>
        <v>-37.200000000000003</v>
      </c>
      <c r="Z381">
        <f t="shared" si="165"/>
        <v>0.8</v>
      </c>
    </row>
    <row r="382" spans="1:26" x14ac:dyDescent="0.4">
      <c r="A382">
        <f t="shared" si="170"/>
        <v>-59.15</v>
      </c>
      <c r="B382">
        <f>教科書付表!D40</f>
        <v>0.85</v>
      </c>
      <c r="E382">
        <f t="shared" si="171"/>
        <v>-47.15</v>
      </c>
      <c r="F382">
        <f t="shared" si="166"/>
        <v>0.85</v>
      </c>
      <c r="I382">
        <f t="shared" si="172"/>
        <v>-52.15</v>
      </c>
      <c r="J382">
        <f t="shared" si="167"/>
        <v>0.85</v>
      </c>
      <c r="M382">
        <f t="shared" si="173"/>
        <v>-11.15</v>
      </c>
      <c r="N382">
        <f t="shared" si="168"/>
        <v>0.85</v>
      </c>
      <c r="Q382">
        <f t="shared" si="174"/>
        <v>-579.15</v>
      </c>
      <c r="R382">
        <f t="shared" si="169"/>
        <v>0.85</v>
      </c>
      <c r="U382">
        <f t="shared" si="175"/>
        <v>-499.15</v>
      </c>
      <c r="V382">
        <f t="shared" si="164"/>
        <v>0.85</v>
      </c>
      <c r="Y382">
        <f t="shared" si="176"/>
        <v>-37.15</v>
      </c>
      <c r="Z382">
        <f t="shared" si="165"/>
        <v>0.85</v>
      </c>
    </row>
    <row r="383" spans="1:26" x14ac:dyDescent="0.4">
      <c r="A383">
        <f t="shared" si="170"/>
        <v>-59.1</v>
      </c>
      <c r="B383">
        <f>教科書付表!D41</f>
        <v>0.9</v>
      </c>
      <c r="E383">
        <f t="shared" si="171"/>
        <v>-47.1</v>
      </c>
      <c r="F383">
        <f t="shared" si="166"/>
        <v>0.9</v>
      </c>
      <c r="I383">
        <f t="shared" si="172"/>
        <v>-52.1</v>
      </c>
      <c r="J383">
        <f t="shared" si="167"/>
        <v>0.9</v>
      </c>
      <c r="M383">
        <f t="shared" si="173"/>
        <v>-11.1</v>
      </c>
      <c r="N383">
        <f t="shared" si="168"/>
        <v>0.9</v>
      </c>
      <c r="Q383">
        <f t="shared" si="174"/>
        <v>-579.1</v>
      </c>
      <c r="R383">
        <f t="shared" si="169"/>
        <v>0.9</v>
      </c>
      <c r="U383">
        <f t="shared" si="175"/>
        <v>-499.1</v>
      </c>
      <c r="V383">
        <f t="shared" si="164"/>
        <v>0.9</v>
      </c>
      <c r="Y383">
        <f t="shared" si="176"/>
        <v>-37.1</v>
      </c>
      <c r="Z383">
        <f t="shared" si="165"/>
        <v>0.9</v>
      </c>
    </row>
    <row r="384" spans="1:26" x14ac:dyDescent="0.4">
      <c r="A384">
        <f t="shared" si="170"/>
        <v>-59.05</v>
      </c>
      <c r="B384">
        <f>教科書付表!D42</f>
        <v>0.95</v>
      </c>
      <c r="E384">
        <f t="shared" si="171"/>
        <v>-47.05</v>
      </c>
      <c r="F384">
        <f t="shared" si="166"/>
        <v>0.95</v>
      </c>
      <c r="I384">
        <f t="shared" si="172"/>
        <v>-52.05</v>
      </c>
      <c r="J384">
        <f t="shared" si="167"/>
        <v>0.95</v>
      </c>
      <c r="M384">
        <f t="shared" si="173"/>
        <v>-11.05</v>
      </c>
      <c r="N384">
        <f t="shared" si="168"/>
        <v>0.95</v>
      </c>
      <c r="Q384">
        <f t="shared" si="174"/>
        <v>-579.04999999999995</v>
      </c>
      <c r="R384">
        <f t="shared" si="169"/>
        <v>0.95</v>
      </c>
      <c r="U384">
        <f t="shared" si="175"/>
        <v>-499.05</v>
      </c>
      <c r="V384">
        <f t="shared" si="164"/>
        <v>0.95</v>
      </c>
      <c r="Y384">
        <f t="shared" si="176"/>
        <v>-37.049999999999997</v>
      </c>
      <c r="Z384">
        <f t="shared" si="165"/>
        <v>0.95</v>
      </c>
    </row>
    <row r="385" spans="1:26" x14ac:dyDescent="0.4">
      <c r="A385">
        <f t="shared" si="170"/>
        <v>-59</v>
      </c>
      <c r="B385">
        <f>B345*10</f>
        <v>1</v>
      </c>
      <c r="E385">
        <f t="shared" si="171"/>
        <v>-47</v>
      </c>
      <c r="F385">
        <f t="shared" si="166"/>
        <v>1</v>
      </c>
      <c r="I385">
        <f t="shared" si="172"/>
        <v>-52</v>
      </c>
      <c r="J385">
        <f t="shared" si="167"/>
        <v>1</v>
      </c>
      <c r="M385">
        <f t="shared" si="173"/>
        <v>-11</v>
      </c>
      <c r="N385">
        <f t="shared" si="168"/>
        <v>1</v>
      </c>
      <c r="Q385">
        <f t="shared" si="174"/>
        <v>-579</v>
      </c>
      <c r="R385">
        <f t="shared" si="169"/>
        <v>1</v>
      </c>
      <c r="U385">
        <f t="shared" si="175"/>
        <v>-499</v>
      </c>
      <c r="V385">
        <f t="shared" si="164"/>
        <v>1</v>
      </c>
      <c r="Y385">
        <f t="shared" si="176"/>
        <v>-37</v>
      </c>
      <c r="Z385">
        <f t="shared" si="165"/>
        <v>1</v>
      </c>
    </row>
    <row r="386" spans="1:26" x14ac:dyDescent="0.4">
      <c r="A386">
        <f t="shared" si="170"/>
        <v>-58.94</v>
      </c>
      <c r="B386">
        <f t="shared" ref="B386:B449" si="177">B346*10</f>
        <v>1.06</v>
      </c>
      <c r="E386">
        <f t="shared" si="171"/>
        <v>-46.94</v>
      </c>
      <c r="F386">
        <f t="shared" si="166"/>
        <v>1.06</v>
      </c>
      <c r="I386">
        <f t="shared" si="172"/>
        <v>-51.94</v>
      </c>
      <c r="J386">
        <f t="shared" si="167"/>
        <v>1.06</v>
      </c>
      <c r="M386">
        <f t="shared" si="173"/>
        <v>-10.94</v>
      </c>
      <c r="N386">
        <f t="shared" si="168"/>
        <v>1.06</v>
      </c>
      <c r="Q386">
        <f t="shared" si="174"/>
        <v>-578.94000000000005</v>
      </c>
      <c r="R386">
        <f t="shared" si="169"/>
        <v>1.06</v>
      </c>
      <c r="U386">
        <f t="shared" si="175"/>
        <v>-498.94</v>
      </c>
      <c r="V386">
        <f t="shared" si="164"/>
        <v>1.06</v>
      </c>
      <c r="Y386">
        <f t="shared" si="176"/>
        <v>-36.94</v>
      </c>
      <c r="Z386">
        <f t="shared" si="165"/>
        <v>1.06</v>
      </c>
    </row>
    <row r="387" spans="1:26" x14ac:dyDescent="0.4">
      <c r="A387">
        <f t="shared" si="170"/>
        <v>-58.88</v>
      </c>
      <c r="B387">
        <f t="shared" si="177"/>
        <v>1.1200000000000001</v>
      </c>
      <c r="E387">
        <f t="shared" si="171"/>
        <v>-46.88</v>
      </c>
      <c r="F387">
        <f t="shared" si="166"/>
        <v>1.1200000000000001</v>
      </c>
      <c r="I387">
        <f t="shared" si="172"/>
        <v>-51.88</v>
      </c>
      <c r="J387">
        <f t="shared" si="167"/>
        <v>1.1200000000000001</v>
      </c>
      <c r="M387">
        <f t="shared" si="173"/>
        <v>-10.879999999999999</v>
      </c>
      <c r="N387">
        <f t="shared" si="168"/>
        <v>1.1200000000000001</v>
      </c>
      <c r="Q387">
        <f t="shared" si="174"/>
        <v>-578.88</v>
      </c>
      <c r="R387">
        <f t="shared" si="169"/>
        <v>1.1200000000000001</v>
      </c>
      <c r="U387">
        <f t="shared" si="175"/>
        <v>-498.88</v>
      </c>
      <c r="V387">
        <f t="shared" si="164"/>
        <v>1.1200000000000001</v>
      </c>
      <c r="Y387">
        <f t="shared" si="176"/>
        <v>-36.880000000000003</v>
      </c>
      <c r="Z387">
        <f t="shared" si="165"/>
        <v>1.1200000000000001</v>
      </c>
    </row>
    <row r="388" spans="1:26" x14ac:dyDescent="0.4">
      <c r="A388">
        <f t="shared" si="170"/>
        <v>-58.82</v>
      </c>
      <c r="B388">
        <f t="shared" si="177"/>
        <v>1.18</v>
      </c>
      <c r="E388">
        <f t="shared" si="171"/>
        <v>-46.82</v>
      </c>
      <c r="F388">
        <f t="shared" si="166"/>
        <v>1.18</v>
      </c>
      <c r="I388">
        <f t="shared" si="172"/>
        <v>-51.82</v>
      </c>
      <c r="J388">
        <f t="shared" si="167"/>
        <v>1.18</v>
      </c>
      <c r="M388">
        <f t="shared" si="173"/>
        <v>-10.82</v>
      </c>
      <c r="N388">
        <f t="shared" si="168"/>
        <v>1.18</v>
      </c>
      <c r="Q388">
        <f t="shared" si="174"/>
        <v>-578.82000000000005</v>
      </c>
      <c r="R388">
        <f t="shared" si="169"/>
        <v>1.18</v>
      </c>
      <c r="U388">
        <f t="shared" si="175"/>
        <v>-498.82</v>
      </c>
      <c r="V388">
        <f t="shared" si="164"/>
        <v>1.18</v>
      </c>
      <c r="Y388">
        <f t="shared" si="176"/>
        <v>-36.82</v>
      </c>
      <c r="Z388">
        <f t="shared" si="165"/>
        <v>1.18</v>
      </c>
    </row>
    <row r="389" spans="1:26" x14ac:dyDescent="0.4">
      <c r="A389">
        <f t="shared" si="170"/>
        <v>-58.75</v>
      </c>
      <c r="B389">
        <f t="shared" si="177"/>
        <v>1.25</v>
      </c>
      <c r="E389">
        <f t="shared" si="171"/>
        <v>-46.75</v>
      </c>
      <c r="F389">
        <f t="shared" si="166"/>
        <v>1.25</v>
      </c>
      <c r="I389">
        <f t="shared" si="172"/>
        <v>-51.75</v>
      </c>
      <c r="J389">
        <f t="shared" si="167"/>
        <v>1.25</v>
      </c>
      <c r="M389">
        <f t="shared" si="173"/>
        <v>-10.75</v>
      </c>
      <c r="N389">
        <f t="shared" si="168"/>
        <v>1.25</v>
      </c>
      <c r="Q389">
        <f t="shared" si="174"/>
        <v>-578.75</v>
      </c>
      <c r="R389">
        <f t="shared" si="169"/>
        <v>1.25</v>
      </c>
      <c r="U389">
        <f t="shared" si="175"/>
        <v>-498.75</v>
      </c>
      <c r="V389">
        <f t="shared" si="164"/>
        <v>1.25</v>
      </c>
      <c r="Y389">
        <f t="shared" si="176"/>
        <v>-36.75</v>
      </c>
      <c r="Z389">
        <f t="shared" si="165"/>
        <v>1.25</v>
      </c>
    </row>
    <row r="390" spans="1:26" x14ac:dyDescent="0.4">
      <c r="A390">
        <f t="shared" si="170"/>
        <v>-58.68</v>
      </c>
      <c r="B390">
        <f t="shared" si="177"/>
        <v>1.32</v>
      </c>
      <c r="E390">
        <f t="shared" si="171"/>
        <v>-46.68</v>
      </c>
      <c r="F390">
        <f t="shared" si="166"/>
        <v>1.32</v>
      </c>
      <c r="I390">
        <f t="shared" si="172"/>
        <v>-51.68</v>
      </c>
      <c r="J390">
        <f t="shared" si="167"/>
        <v>1.32</v>
      </c>
      <c r="M390">
        <f t="shared" si="173"/>
        <v>-10.68</v>
      </c>
      <c r="N390">
        <f t="shared" si="168"/>
        <v>1.32</v>
      </c>
      <c r="Q390">
        <f t="shared" si="174"/>
        <v>-578.67999999999995</v>
      </c>
      <c r="R390">
        <f t="shared" si="169"/>
        <v>1.32</v>
      </c>
      <c r="U390">
        <f t="shared" si="175"/>
        <v>-498.68</v>
      </c>
      <c r="V390">
        <f t="shared" si="164"/>
        <v>1.32</v>
      </c>
      <c r="Y390">
        <f t="shared" si="176"/>
        <v>-36.68</v>
      </c>
      <c r="Z390">
        <f t="shared" si="165"/>
        <v>1.32</v>
      </c>
    </row>
    <row r="391" spans="1:26" x14ac:dyDescent="0.4">
      <c r="A391">
        <f t="shared" si="170"/>
        <v>-58.6</v>
      </c>
      <c r="B391">
        <f t="shared" si="177"/>
        <v>1.4</v>
      </c>
      <c r="E391">
        <f t="shared" si="171"/>
        <v>-46.6</v>
      </c>
      <c r="F391">
        <f t="shared" si="166"/>
        <v>1.4</v>
      </c>
      <c r="I391">
        <f t="shared" si="172"/>
        <v>-51.6</v>
      </c>
      <c r="J391">
        <f t="shared" si="167"/>
        <v>1.4</v>
      </c>
      <c r="M391">
        <f t="shared" si="173"/>
        <v>-10.6</v>
      </c>
      <c r="N391">
        <f t="shared" si="168"/>
        <v>1.4</v>
      </c>
      <c r="Q391">
        <f t="shared" si="174"/>
        <v>-578.6</v>
      </c>
      <c r="R391">
        <f t="shared" si="169"/>
        <v>1.4</v>
      </c>
      <c r="U391">
        <f t="shared" si="175"/>
        <v>-498.6</v>
      </c>
      <c r="V391">
        <f t="shared" si="164"/>
        <v>1.4</v>
      </c>
      <c r="Y391">
        <f t="shared" si="176"/>
        <v>-36.6</v>
      </c>
      <c r="Z391">
        <f t="shared" si="165"/>
        <v>1.4</v>
      </c>
    </row>
    <row r="392" spans="1:26" x14ac:dyDescent="0.4">
      <c r="A392">
        <f t="shared" si="170"/>
        <v>-58.5</v>
      </c>
      <c r="B392">
        <f t="shared" si="177"/>
        <v>1.5</v>
      </c>
      <c r="E392">
        <f t="shared" si="171"/>
        <v>-46.5</v>
      </c>
      <c r="F392">
        <f t="shared" si="166"/>
        <v>1.5</v>
      </c>
      <c r="I392">
        <f t="shared" si="172"/>
        <v>-51.5</v>
      </c>
      <c r="J392">
        <f t="shared" si="167"/>
        <v>1.5</v>
      </c>
      <c r="M392">
        <f t="shared" si="173"/>
        <v>-10.5</v>
      </c>
      <c r="N392">
        <f t="shared" si="168"/>
        <v>1.5</v>
      </c>
      <c r="Q392">
        <f t="shared" si="174"/>
        <v>-578.5</v>
      </c>
      <c r="R392">
        <f t="shared" si="169"/>
        <v>1.5</v>
      </c>
      <c r="U392">
        <f t="shared" si="175"/>
        <v>-498.5</v>
      </c>
      <c r="V392">
        <f t="shared" si="164"/>
        <v>1.5</v>
      </c>
      <c r="Y392">
        <f t="shared" si="176"/>
        <v>-36.5</v>
      </c>
      <c r="Z392">
        <f t="shared" si="165"/>
        <v>1.5</v>
      </c>
    </row>
    <row r="393" spans="1:26" x14ac:dyDescent="0.4">
      <c r="A393">
        <f t="shared" si="170"/>
        <v>-58.4</v>
      </c>
      <c r="B393">
        <f t="shared" si="177"/>
        <v>1.6</v>
      </c>
      <c r="E393">
        <f t="shared" si="171"/>
        <v>-46.4</v>
      </c>
      <c r="F393">
        <f t="shared" si="166"/>
        <v>1.6</v>
      </c>
      <c r="I393">
        <f t="shared" si="172"/>
        <v>-51.4</v>
      </c>
      <c r="J393">
        <f t="shared" si="167"/>
        <v>1.6</v>
      </c>
      <c r="M393">
        <f t="shared" si="173"/>
        <v>-10.4</v>
      </c>
      <c r="N393">
        <f t="shared" si="168"/>
        <v>1.6</v>
      </c>
      <c r="Q393">
        <f t="shared" si="174"/>
        <v>-578.4</v>
      </c>
      <c r="R393">
        <f t="shared" si="169"/>
        <v>1.6</v>
      </c>
      <c r="U393">
        <f t="shared" si="175"/>
        <v>-498.4</v>
      </c>
      <c r="V393">
        <f t="shared" si="164"/>
        <v>1.6</v>
      </c>
      <c r="Y393">
        <f t="shared" si="176"/>
        <v>-36.4</v>
      </c>
      <c r="Z393">
        <f t="shared" si="165"/>
        <v>1.6</v>
      </c>
    </row>
    <row r="394" spans="1:26" x14ac:dyDescent="0.4">
      <c r="A394">
        <f t="shared" si="170"/>
        <v>-58.3</v>
      </c>
      <c r="B394">
        <f t="shared" si="177"/>
        <v>1.6999999999999997</v>
      </c>
      <c r="E394">
        <f t="shared" si="171"/>
        <v>-46.3</v>
      </c>
      <c r="F394">
        <f t="shared" si="166"/>
        <v>1.6999999999999997</v>
      </c>
      <c r="I394">
        <f t="shared" si="172"/>
        <v>-51.3</v>
      </c>
      <c r="J394">
        <f t="shared" si="167"/>
        <v>1.6999999999999997</v>
      </c>
      <c r="M394">
        <f t="shared" si="173"/>
        <v>-10.3</v>
      </c>
      <c r="N394">
        <f t="shared" si="168"/>
        <v>1.6999999999999997</v>
      </c>
      <c r="Q394">
        <f t="shared" si="174"/>
        <v>-578.29999999999995</v>
      </c>
      <c r="R394">
        <f t="shared" si="169"/>
        <v>1.6999999999999997</v>
      </c>
      <c r="U394">
        <f t="shared" si="175"/>
        <v>-498.3</v>
      </c>
      <c r="V394">
        <f t="shared" si="164"/>
        <v>1.6999999999999997</v>
      </c>
      <c r="Y394">
        <f t="shared" si="176"/>
        <v>-36.299999999999997</v>
      </c>
      <c r="Z394">
        <f t="shared" si="165"/>
        <v>1.6999999999999997</v>
      </c>
    </row>
    <row r="395" spans="1:26" x14ac:dyDescent="0.4">
      <c r="A395">
        <f t="shared" si="170"/>
        <v>-58.2</v>
      </c>
      <c r="B395">
        <f t="shared" si="177"/>
        <v>1.7999999999999998</v>
      </c>
      <c r="E395">
        <f t="shared" si="171"/>
        <v>-46.2</v>
      </c>
      <c r="F395">
        <f t="shared" si="166"/>
        <v>1.7999999999999998</v>
      </c>
      <c r="I395">
        <f t="shared" si="172"/>
        <v>-51.2</v>
      </c>
      <c r="J395">
        <f t="shared" si="167"/>
        <v>1.7999999999999998</v>
      </c>
      <c r="M395">
        <f t="shared" si="173"/>
        <v>-10.199999999999999</v>
      </c>
      <c r="N395">
        <f t="shared" si="168"/>
        <v>1.7999999999999998</v>
      </c>
      <c r="Q395">
        <f t="shared" si="174"/>
        <v>-578.20000000000005</v>
      </c>
      <c r="R395">
        <f t="shared" si="169"/>
        <v>1.7999999999999998</v>
      </c>
      <c r="U395">
        <f t="shared" si="175"/>
        <v>-498.2</v>
      </c>
      <c r="V395">
        <f t="shared" si="164"/>
        <v>1.7999999999999998</v>
      </c>
      <c r="Y395">
        <f t="shared" si="176"/>
        <v>-36.200000000000003</v>
      </c>
      <c r="Z395">
        <f t="shared" si="165"/>
        <v>1.7999999999999998</v>
      </c>
    </row>
    <row r="396" spans="1:26" x14ac:dyDescent="0.4">
      <c r="A396">
        <f t="shared" si="170"/>
        <v>-58.1</v>
      </c>
      <c r="B396">
        <f t="shared" si="177"/>
        <v>1.9</v>
      </c>
      <c r="E396">
        <f t="shared" si="171"/>
        <v>-46.1</v>
      </c>
      <c r="F396">
        <f t="shared" si="166"/>
        <v>1.9</v>
      </c>
      <c r="I396">
        <f t="shared" si="172"/>
        <v>-51.1</v>
      </c>
      <c r="J396">
        <f t="shared" si="167"/>
        <v>1.9</v>
      </c>
      <c r="M396">
        <f t="shared" si="173"/>
        <v>-10.1</v>
      </c>
      <c r="N396">
        <f t="shared" si="168"/>
        <v>1.9</v>
      </c>
      <c r="Q396">
        <f t="shared" si="174"/>
        <v>-578.1</v>
      </c>
      <c r="R396">
        <f t="shared" si="169"/>
        <v>1.9</v>
      </c>
      <c r="U396">
        <f t="shared" si="175"/>
        <v>-498.1</v>
      </c>
      <c r="V396">
        <f t="shared" si="164"/>
        <v>1.9</v>
      </c>
      <c r="Y396">
        <f t="shared" si="176"/>
        <v>-36.1</v>
      </c>
      <c r="Z396">
        <f t="shared" si="165"/>
        <v>1.9</v>
      </c>
    </row>
    <row r="397" spans="1:26" x14ac:dyDescent="0.4">
      <c r="A397">
        <f t="shared" si="170"/>
        <v>-58</v>
      </c>
      <c r="B397">
        <f t="shared" si="177"/>
        <v>2</v>
      </c>
      <c r="E397">
        <f t="shared" si="171"/>
        <v>-46</v>
      </c>
      <c r="F397">
        <f t="shared" si="166"/>
        <v>2</v>
      </c>
      <c r="I397">
        <f t="shared" si="172"/>
        <v>-51</v>
      </c>
      <c r="J397">
        <f t="shared" si="167"/>
        <v>2</v>
      </c>
      <c r="M397">
        <f t="shared" si="173"/>
        <v>-10</v>
      </c>
      <c r="N397">
        <f t="shared" si="168"/>
        <v>2</v>
      </c>
      <c r="Q397">
        <f t="shared" si="174"/>
        <v>-578</v>
      </c>
      <c r="R397">
        <f t="shared" si="169"/>
        <v>2</v>
      </c>
      <c r="U397">
        <f t="shared" si="175"/>
        <v>-498</v>
      </c>
      <c r="V397">
        <f t="shared" si="164"/>
        <v>2</v>
      </c>
      <c r="Y397">
        <f t="shared" si="176"/>
        <v>-36</v>
      </c>
      <c r="Z397">
        <f t="shared" si="165"/>
        <v>2</v>
      </c>
    </row>
    <row r="398" spans="1:26" x14ac:dyDescent="0.4">
      <c r="A398">
        <f t="shared" si="170"/>
        <v>-57.88</v>
      </c>
      <c r="B398">
        <f t="shared" si="177"/>
        <v>2.12</v>
      </c>
      <c r="E398">
        <f t="shared" si="171"/>
        <v>-45.88</v>
      </c>
      <c r="F398">
        <f t="shared" si="166"/>
        <v>2.12</v>
      </c>
      <c r="I398">
        <f t="shared" si="172"/>
        <v>-50.88</v>
      </c>
      <c r="J398">
        <f t="shared" si="167"/>
        <v>2.12</v>
      </c>
      <c r="M398">
        <f t="shared" si="173"/>
        <v>-9.879999999999999</v>
      </c>
      <c r="N398">
        <f t="shared" si="168"/>
        <v>2.12</v>
      </c>
      <c r="Q398">
        <f t="shared" si="174"/>
        <v>-577.88</v>
      </c>
      <c r="R398">
        <f t="shared" si="169"/>
        <v>2.12</v>
      </c>
      <c r="U398">
        <f t="shared" si="175"/>
        <v>-497.88</v>
      </c>
      <c r="V398">
        <f t="shared" si="164"/>
        <v>2.12</v>
      </c>
      <c r="Y398">
        <f t="shared" si="176"/>
        <v>-35.880000000000003</v>
      </c>
      <c r="Z398">
        <f t="shared" si="165"/>
        <v>2.12</v>
      </c>
    </row>
    <row r="399" spans="1:26" x14ac:dyDescent="0.4">
      <c r="A399">
        <f t="shared" si="170"/>
        <v>-57.76</v>
      </c>
      <c r="B399">
        <f t="shared" si="177"/>
        <v>2.2400000000000002</v>
      </c>
      <c r="E399">
        <f t="shared" si="171"/>
        <v>-45.76</v>
      </c>
      <c r="F399">
        <f t="shared" si="166"/>
        <v>2.2400000000000002</v>
      </c>
      <c r="I399">
        <f t="shared" si="172"/>
        <v>-50.76</v>
      </c>
      <c r="J399">
        <f t="shared" si="167"/>
        <v>2.2400000000000002</v>
      </c>
      <c r="M399">
        <f t="shared" si="173"/>
        <v>-9.76</v>
      </c>
      <c r="N399">
        <f t="shared" si="168"/>
        <v>2.2400000000000002</v>
      </c>
      <c r="Q399">
        <f t="shared" si="174"/>
        <v>-577.76</v>
      </c>
      <c r="R399">
        <f t="shared" si="169"/>
        <v>2.2400000000000002</v>
      </c>
      <c r="U399">
        <f t="shared" si="175"/>
        <v>-497.76</v>
      </c>
      <c r="V399">
        <f t="shared" si="164"/>
        <v>2.2400000000000002</v>
      </c>
      <c r="Y399">
        <f t="shared" si="176"/>
        <v>-35.76</v>
      </c>
      <c r="Z399">
        <f t="shared" si="165"/>
        <v>2.2400000000000002</v>
      </c>
    </row>
    <row r="400" spans="1:26" x14ac:dyDescent="0.4">
      <c r="A400">
        <f t="shared" si="170"/>
        <v>-57.64</v>
      </c>
      <c r="B400">
        <f t="shared" si="177"/>
        <v>2.36</v>
      </c>
      <c r="E400">
        <f t="shared" si="171"/>
        <v>-45.64</v>
      </c>
      <c r="F400">
        <f t="shared" si="166"/>
        <v>2.36</v>
      </c>
      <c r="I400">
        <f t="shared" si="172"/>
        <v>-50.64</v>
      </c>
      <c r="J400">
        <f t="shared" si="167"/>
        <v>2.36</v>
      </c>
      <c r="M400">
        <f t="shared" si="173"/>
        <v>-9.64</v>
      </c>
      <c r="N400">
        <f t="shared" si="168"/>
        <v>2.36</v>
      </c>
      <c r="Q400">
        <f t="shared" si="174"/>
        <v>-577.64</v>
      </c>
      <c r="R400">
        <f t="shared" si="169"/>
        <v>2.36</v>
      </c>
      <c r="U400">
        <f t="shared" si="175"/>
        <v>-497.64</v>
      </c>
      <c r="V400">
        <f t="shared" si="164"/>
        <v>2.36</v>
      </c>
      <c r="Y400">
        <f t="shared" si="176"/>
        <v>-35.64</v>
      </c>
      <c r="Z400">
        <f t="shared" si="165"/>
        <v>2.36</v>
      </c>
    </row>
    <row r="401" spans="1:26" x14ac:dyDescent="0.4">
      <c r="A401">
        <f t="shared" si="170"/>
        <v>-57.5</v>
      </c>
      <c r="B401">
        <f t="shared" si="177"/>
        <v>2.5</v>
      </c>
      <c r="E401">
        <f t="shared" si="171"/>
        <v>-45.5</v>
      </c>
      <c r="F401">
        <f t="shared" si="166"/>
        <v>2.5</v>
      </c>
      <c r="I401">
        <f t="shared" si="172"/>
        <v>-50.5</v>
      </c>
      <c r="J401">
        <f t="shared" si="167"/>
        <v>2.5</v>
      </c>
      <c r="M401">
        <f t="shared" si="173"/>
        <v>-9.5</v>
      </c>
      <c r="N401">
        <f t="shared" si="168"/>
        <v>2.5</v>
      </c>
      <c r="Q401">
        <f t="shared" si="174"/>
        <v>-577.5</v>
      </c>
      <c r="R401">
        <f t="shared" si="169"/>
        <v>2.5</v>
      </c>
      <c r="U401">
        <f t="shared" si="175"/>
        <v>-497.5</v>
      </c>
      <c r="V401">
        <f t="shared" si="164"/>
        <v>2.5</v>
      </c>
      <c r="Y401">
        <f t="shared" si="176"/>
        <v>-35.5</v>
      </c>
      <c r="Z401">
        <f t="shared" si="165"/>
        <v>2.5</v>
      </c>
    </row>
    <row r="402" spans="1:26" x14ac:dyDescent="0.4">
      <c r="A402">
        <f t="shared" si="170"/>
        <v>-57.35</v>
      </c>
      <c r="B402">
        <f t="shared" si="177"/>
        <v>2.6500000000000004</v>
      </c>
      <c r="E402">
        <f t="shared" si="171"/>
        <v>-45.35</v>
      </c>
      <c r="F402">
        <f t="shared" si="166"/>
        <v>2.6500000000000004</v>
      </c>
      <c r="I402">
        <f t="shared" si="172"/>
        <v>-50.35</v>
      </c>
      <c r="J402">
        <f t="shared" si="167"/>
        <v>2.6500000000000004</v>
      </c>
      <c r="M402">
        <f t="shared" si="173"/>
        <v>-9.35</v>
      </c>
      <c r="N402">
        <f t="shared" si="168"/>
        <v>2.6500000000000004</v>
      </c>
      <c r="Q402">
        <f t="shared" si="174"/>
        <v>-577.35</v>
      </c>
      <c r="R402">
        <f t="shared" si="169"/>
        <v>2.6500000000000004</v>
      </c>
      <c r="U402">
        <f t="shared" si="175"/>
        <v>-497.35</v>
      </c>
      <c r="V402">
        <f t="shared" si="164"/>
        <v>2.6500000000000004</v>
      </c>
      <c r="Y402">
        <f t="shared" si="176"/>
        <v>-35.35</v>
      </c>
      <c r="Z402">
        <f t="shared" si="165"/>
        <v>2.6500000000000004</v>
      </c>
    </row>
    <row r="403" spans="1:26" x14ac:dyDescent="0.4">
      <c r="A403">
        <f t="shared" si="170"/>
        <v>-57.2</v>
      </c>
      <c r="B403">
        <f t="shared" si="177"/>
        <v>2.8</v>
      </c>
      <c r="E403">
        <f t="shared" si="171"/>
        <v>-45.2</v>
      </c>
      <c r="F403">
        <f t="shared" si="166"/>
        <v>2.8</v>
      </c>
      <c r="I403">
        <f t="shared" si="172"/>
        <v>-50.2</v>
      </c>
      <c r="J403">
        <f t="shared" si="167"/>
        <v>2.8</v>
      </c>
      <c r="M403">
        <f t="shared" si="173"/>
        <v>-9.1999999999999993</v>
      </c>
      <c r="N403">
        <f t="shared" si="168"/>
        <v>2.8</v>
      </c>
      <c r="Q403">
        <f t="shared" si="174"/>
        <v>-577.20000000000005</v>
      </c>
      <c r="R403">
        <f t="shared" si="169"/>
        <v>2.8</v>
      </c>
      <c r="U403">
        <f t="shared" si="175"/>
        <v>-497.2</v>
      </c>
      <c r="V403">
        <f t="shared" si="164"/>
        <v>2.8</v>
      </c>
      <c r="Y403">
        <f t="shared" si="176"/>
        <v>-35.200000000000003</v>
      </c>
      <c r="Z403">
        <f t="shared" si="165"/>
        <v>2.8</v>
      </c>
    </row>
    <row r="404" spans="1:26" x14ac:dyDescent="0.4">
      <c r="A404">
        <f t="shared" si="170"/>
        <v>-57</v>
      </c>
      <c r="B404">
        <f t="shared" si="177"/>
        <v>3</v>
      </c>
      <c r="E404">
        <f t="shared" si="171"/>
        <v>-45</v>
      </c>
      <c r="F404">
        <f t="shared" si="166"/>
        <v>3</v>
      </c>
      <c r="I404">
        <f t="shared" si="172"/>
        <v>-50</v>
      </c>
      <c r="J404">
        <f t="shared" si="167"/>
        <v>3</v>
      </c>
      <c r="M404">
        <f t="shared" si="173"/>
        <v>-9</v>
      </c>
      <c r="N404">
        <f t="shared" si="168"/>
        <v>3</v>
      </c>
      <c r="Q404">
        <f t="shared" si="174"/>
        <v>-577</v>
      </c>
      <c r="R404">
        <f t="shared" si="169"/>
        <v>3</v>
      </c>
      <c r="U404">
        <f t="shared" si="175"/>
        <v>-497</v>
      </c>
      <c r="V404">
        <f t="shared" si="164"/>
        <v>3</v>
      </c>
      <c r="Y404">
        <f t="shared" si="176"/>
        <v>-35</v>
      </c>
      <c r="Z404">
        <f t="shared" si="165"/>
        <v>3</v>
      </c>
    </row>
    <row r="405" spans="1:26" x14ac:dyDescent="0.4">
      <c r="A405">
        <f t="shared" si="170"/>
        <v>-56.85</v>
      </c>
      <c r="B405">
        <f t="shared" si="177"/>
        <v>3.15</v>
      </c>
      <c r="E405">
        <f t="shared" si="171"/>
        <v>-44.85</v>
      </c>
      <c r="F405">
        <f t="shared" si="166"/>
        <v>3.15</v>
      </c>
      <c r="I405">
        <f t="shared" si="172"/>
        <v>-49.85</v>
      </c>
      <c r="J405">
        <f t="shared" si="167"/>
        <v>3.15</v>
      </c>
      <c r="M405">
        <f t="shared" si="173"/>
        <v>-8.85</v>
      </c>
      <c r="N405">
        <f t="shared" si="168"/>
        <v>3.15</v>
      </c>
      <c r="Q405">
        <f t="shared" si="174"/>
        <v>-576.85</v>
      </c>
      <c r="R405">
        <f t="shared" si="169"/>
        <v>3.15</v>
      </c>
      <c r="U405">
        <f t="shared" si="175"/>
        <v>-496.85</v>
      </c>
      <c r="V405">
        <f t="shared" si="164"/>
        <v>3.15</v>
      </c>
      <c r="Y405">
        <f t="shared" si="176"/>
        <v>-34.85</v>
      </c>
      <c r="Z405">
        <f t="shared" si="165"/>
        <v>3.15</v>
      </c>
    </row>
    <row r="406" spans="1:26" x14ac:dyDescent="0.4">
      <c r="A406">
        <f t="shared" si="170"/>
        <v>-56.65</v>
      </c>
      <c r="B406">
        <f t="shared" si="177"/>
        <v>3.35</v>
      </c>
      <c r="E406">
        <f t="shared" si="171"/>
        <v>-44.65</v>
      </c>
      <c r="F406">
        <f t="shared" si="166"/>
        <v>3.35</v>
      </c>
      <c r="I406">
        <f t="shared" si="172"/>
        <v>-49.65</v>
      </c>
      <c r="J406">
        <f t="shared" si="167"/>
        <v>3.35</v>
      </c>
      <c r="M406">
        <f t="shared" si="173"/>
        <v>-8.65</v>
      </c>
      <c r="N406">
        <f t="shared" si="168"/>
        <v>3.35</v>
      </c>
      <c r="Q406">
        <f t="shared" si="174"/>
        <v>-576.65</v>
      </c>
      <c r="R406">
        <f t="shared" si="169"/>
        <v>3.35</v>
      </c>
      <c r="U406">
        <f t="shared" si="175"/>
        <v>-496.65</v>
      </c>
      <c r="V406">
        <f t="shared" si="164"/>
        <v>3.35</v>
      </c>
      <c r="Y406">
        <f t="shared" si="176"/>
        <v>-34.65</v>
      </c>
      <c r="Z406">
        <f t="shared" si="165"/>
        <v>3.35</v>
      </c>
    </row>
    <row r="407" spans="1:26" x14ac:dyDescent="0.4">
      <c r="A407">
        <f t="shared" si="170"/>
        <v>-56.45</v>
      </c>
      <c r="B407">
        <f t="shared" si="177"/>
        <v>3.55</v>
      </c>
      <c r="E407">
        <f t="shared" si="171"/>
        <v>-44.45</v>
      </c>
      <c r="F407">
        <f t="shared" si="166"/>
        <v>3.55</v>
      </c>
      <c r="I407">
        <f t="shared" si="172"/>
        <v>-49.45</v>
      </c>
      <c r="J407">
        <f t="shared" si="167"/>
        <v>3.55</v>
      </c>
      <c r="M407">
        <f t="shared" si="173"/>
        <v>-8.4499999999999993</v>
      </c>
      <c r="N407">
        <f t="shared" si="168"/>
        <v>3.55</v>
      </c>
      <c r="Q407">
        <f t="shared" si="174"/>
        <v>-576.45000000000005</v>
      </c>
      <c r="R407">
        <f t="shared" si="169"/>
        <v>3.55</v>
      </c>
      <c r="U407">
        <f t="shared" si="175"/>
        <v>-496.45</v>
      </c>
      <c r="V407">
        <f t="shared" si="164"/>
        <v>3.55</v>
      </c>
      <c r="Y407">
        <f t="shared" si="176"/>
        <v>-34.450000000000003</v>
      </c>
      <c r="Z407">
        <f t="shared" si="165"/>
        <v>3.55</v>
      </c>
    </row>
    <row r="408" spans="1:26" x14ac:dyDescent="0.4">
      <c r="A408">
        <f t="shared" si="170"/>
        <v>-56.25</v>
      </c>
      <c r="B408">
        <f t="shared" si="177"/>
        <v>3.75</v>
      </c>
      <c r="E408">
        <f t="shared" si="171"/>
        <v>-44.25</v>
      </c>
      <c r="F408">
        <f t="shared" si="166"/>
        <v>3.75</v>
      </c>
      <c r="I408">
        <f t="shared" si="172"/>
        <v>-49.25</v>
      </c>
      <c r="J408">
        <f t="shared" si="167"/>
        <v>3.75</v>
      </c>
      <c r="M408">
        <f t="shared" si="173"/>
        <v>-8.25</v>
      </c>
      <c r="N408">
        <f t="shared" si="168"/>
        <v>3.75</v>
      </c>
      <c r="Q408">
        <f t="shared" si="174"/>
        <v>-576.25</v>
      </c>
      <c r="R408">
        <f t="shared" si="169"/>
        <v>3.75</v>
      </c>
      <c r="U408">
        <f t="shared" si="175"/>
        <v>-496.25</v>
      </c>
      <c r="V408">
        <f t="shared" ref="V408:V471" si="178">R408</f>
        <v>3.75</v>
      </c>
      <c r="Y408">
        <f t="shared" si="176"/>
        <v>-34.25</v>
      </c>
      <c r="Z408">
        <f t="shared" ref="Z408:Z471" si="179">V408</f>
        <v>3.75</v>
      </c>
    </row>
    <row r="409" spans="1:26" x14ac:dyDescent="0.4">
      <c r="A409">
        <f t="shared" si="170"/>
        <v>-56</v>
      </c>
      <c r="B409">
        <f t="shared" si="177"/>
        <v>4</v>
      </c>
      <c r="E409">
        <f t="shared" si="171"/>
        <v>-44</v>
      </c>
      <c r="F409">
        <f t="shared" ref="F409:F472" si="180">B409</f>
        <v>4</v>
      </c>
      <c r="I409">
        <f t="shared" si="172"/>
        <v>-49</v>
      </c>
      <c r="J409">
        <f t="shared" ref="J409:J472" si="181">F409</f>
        <v>4</v>
      </c>
      <c r="M409">
        <f t="shared" si="173"/>
        <v>-8</v>
      </c>
      <c r="N409">
        <f t="shared" ref="N409:N472" si="182">J409</f>
        <v>4</v>
      </c>
      <c r="Q409">
        <f t="shared" si="174"/>
        <v>-576</v>
      </c>
      <c r="R409">
        <f t="shared" ref="R409:R472" si="183">N409</f>
        <v>4</v>
      </c>
      <c r="U409">
        <f t="shared" si="175"/>
        <v>-496</v>
      </c>
      <c r="V409">
        <f t="shared" si="178"/>
        <v>4</v>
      </c>
      <c r="Y409">
        <f t="shared" si="176"/>
        <v>-34</v>
      </c>
      <c r="Z409">
        <f t="shared" si="179"/>
        <v>4</v>
      </c>
    </row>
    <row r="410" spans="1:26" x14ac:dyDescent="0.4">
      <c r="A410">
        <f t="shared" ref="A410:A473" si="184">B410-$A$343</f>
        <v>-55.75</v>
      </c>
      <c r="B410">
        <f t="shared" si="177"/>
        <v>4.25</v>
      </c>
      <c r="E410">
        <f t="shared" ref="E410:E473" si="185">F410-$E$343</f>
        <v>-43.75</v>
      </c>
      <c r="F410">
        <f t="shared" si="180"/>
        <v>4.25</v>
      </c>
      <c r="I410">
        <f t="shared" ref="I410:I473" si="186">J410-$I$343</f>
        <v>-48.75</v>
      </c>
      <c r="J410">
        <f t="shared" si="181"/>
        <v>4.25</v>
      </c>
      <c r="M410">
        <f t="shared" ref="M410:M473" si="187">N410-$M$343</f>
        <v>-7.75</v>
      </c>
      <c r="N410">
        <f t="shared" si="182"/>
        <v>4.25</v>
      </c>
      <c r="Q410">
        <f t="shared" ref="Q410:Q473" si="188">R410-$Q$343</f>
        <v>-575.75</v>
      </c>
      <c r="R410">
        <f t="shared" si="183"/>
        <v>4.25</v>
      </c>
      <c r="U410">
        <f t="shared" ref="U410:U473" si="189">V410-$U$343</f>
        <v>-495.75</v>
      </c>
      <c r="V410">
        <f t="shared" si="178"/>
        <v>4.25</v>
      </c>
      <c r="Y410">
        <f t="shared" ref="Y410:Y473" si="190">Z410-$Y$343</f>
        <v>-33.75</v>
      </c>
      <c r="Z410">
        <f t="shared" si="179"/>
        <v>4.25</v>
      </c>
    </row>
    <row r="411" spans="1:26" x14ac:dyDescent="0.4">
      <c r="A411">
        <f t="shared" si="184"/>
        <v>-55.5</v>
      </c>
      <c r="B411">
        <f t="shared" si="177"/>
        <v>4.5</v>
      </c>
      <c r="E411">
        <f t="shared" si="185"/>
        <v>-43.5</v>
      </c>
      <c r="F411">
        <f t="shared" si="180"/>
        <v>4.5</v>
      </c>
      <c r="I411">
        <f t="shared" si="186"/>
        <v>-48.5</v>
      </c>
      <c r="J411">
        <f t="shared" si="181"/>
        <v>4.5</v>
      </c>
      <c r="M411">
        <f t="shared" si="187"/>
        <v>-7.5</v>
      </c>
      <c r="N411">
        <f t="shared" si="182"/>
        <v>4.5</v>
      </c>
      <c r="Q411">
        <f t="shared" si="188"/>
        <v>-575.5</v>
      </c>
      <c r="R411">
        <f t="shared" si="183"/>
        <v>4.5</v>
      </c>
      <c r="U411">
        <f t="shared" si="189"/>
        <v>-495.5</v>
      </c>
      <c r="V411">
        <f t="shared" si="178"/>
        <v>4.5</v>
      </c>
      <c r="Y411">
        <f t="shared" si="190"/>
        <v>-33.5</v>
      </c>
      <c r="Z411">
        <f t="shared" si="179"/>
        <v>4.5</v>
      </c>
    </row>
    <row r="412" spans="1:26" x14ac:dyDescent="0.4">
      <c r="A412">
        <f t="shared" si="184"/>
        <v>-55.25</v>
      </c>
      <c r="B412">
        <f t="shared" si="177"/>
        <v>4.75</v>
      </c>
      <c r="E412">
        <f t="shared" si="185"/>
        <v>-43.25</v>
      </c>
      <c r="F412">
        <f t="shared" si="180"/>
        <v>4.75</v>
      </c>
      <c r="I412">
        <f t="shared" si="186"/>
        <v>-48.25</v>
      </c>
      <c r="J412">
        <f t="shared" si="181"/>
        <v>4.75</v>
      </c>
      <c r="M412">
        <f t="shared" si="187"/>
        <v>-7.25</v>
      </c>
      <c r="N412">
        <f t="shared" si="182"/>
        <v>4.75</v>
      </c>
      <c r="Q412">
        <f t="shared" si="188"/>
        <v>-575.25</v>
      </c>
      <c r="R412">
        <f t="shared" si="183"/>
        <v>4.75</v>
      </c>
      <c r="U412">
        <f t="shared" si="189"/>
        <v>-495.25</v>
      </c>
      <c r="V412">
        <f t="shared" si="178"/>
        <v>4.75</v>
      </c>
      <c r="Y412">
        <f t="shared" si="190"/>
        <v>-33.25</v>
      </c>
      <c r="Z412">
        <f t="shared" si="179"/>
        <v>4.75</v>
      </c>
    </row>
    <row r="413" spans="1:26" x14ac:dyDescent="0.4">
      <c r="A413">
        <f t="shared" si="184"/>
        <v>-55</v>
      </c>
      <c r="B413">
        <f t="shared" si="177"/>
        <v>5</v>
      </c>
      <c r="E413">
        <f t="shared" si="185"/>
        <v>-43</v>
      </c>
      <c r="F413">
        <f t="shared" si="180"/>
        <v>5</v>
      </c>
      <c r="I413">
        <f t="shared" si="186"/>
        <v>-48</v>
      </c>
      <c r="J413">
        <f t="shared" si="181"/>
        <v>5</v>
      </c>
      <c r="M413">
        <f t="shared" si="187"/>
        <v>-7</v>
      </c>
      <c r="N413">
        <f t="shared" si="182"/>
        <v>5</v>
      </c>
      <c r="Q413">
        <f t="shared" si="188"/>
        <v>-575</v>
      </c>
      <c r="R413">
        <f t="shared" si="183"/>
        <v>5</v>
      </c>
      <c r="U413">
        <f t="shared" si="189"/>
        <v>-495</v>
      </c>
      <c r="V413">
        <f t="shared" si="178"/>
        <v>5</v>
      </c>
      <c r="Y413">
        <f t="shared" si="190"/>
        <v>-33</v>
      </c>
      <c r="Z413">
        <f t="shared" si="179"/>
        <v>5</v>
      </c>
    </row>
    <row r="414" spans="1:26" x14ac:dyDescent="0.4">
      <c r="A414">
        <f t="shared" si="184"/>
        <v>-54.7</v>
      </c>
      <c r="B414">
        <f t="shared" si="177"/>
        <v>5.3000000000000007</v>
      </c>
      <c r="E414">
        <f t="shared" si="185"/>
        <v>-42.7</v>
      </c>
      <c r="F414">
        <f t="shared" si="180"/>
        <v>5.3000000000000007</v>
      </c>
      <c r="I414">
        <f t="shared" si="186"/>
        <v>-47.7</v>
      </c>
      <c r="J414">
        <f t="shared" si="181"/>
        <v>5.3000000000000007</v>
      </c>
      <c r="M414">
        <f t="shared" si="187"/>
        <v>-6.6999999999999993</v>
      </c>
      <c r="N414">
        <f t="shared" si="182"/>
        <v>5.3000000000000007</v>
      </c>
      <c r="Q414">
        <f t="shared" si="188"/>
        <v>-574.70000000000005</v>
      </c>
      <c r="R414">
        <f t="shared" si="183"/>
        <v>5.3000000000000007</v>
      </c>
      <c r="U414">
        <f t="shared" si="189"/>
        <v>-494.7</v>
      </c>
      <c r="V414">
        <f t="shared" si="178"/>
        <v>5.3000000000000007</v>
      </c>
      <c r="Y414">
        <f t="shared" si="190"/>
        <v>-32.700000000000003</v>
      </c>
      <c r="Z414">
        <f t="shared" si="179"/>
        <v>5.3000000000000007</v>
      </c>
    </row>
    <row r="415" spans="1:26" x14ac:dyDescent="0.4">
      <c r="A415">
        <f t="shared" si="184"/>
        <v>-54.4</v>
      </c>
      <c r="B415">
        <f t="shared" si="177"/>
        <v>5.6</v>
      </c>
      <c r="E415">
        <f t="shared" si="185"/>
        <v>-42.4</v>
      </c>
      <c r="F415">
        <f t="shared" si="180"/>
        <v>5.6</v>
      </c>
      <c r="I415">
        <f t="shared" si="186"/>
        <v>-47.4</v>
      </c>
      <c r="J415">
        <f t="shared" si="181"/>
        <v>5.6</v>
      </c>
      <c r="M415">
        <f t="shared" si="187"/>
        <v>-6.4</v>
      </c>
      <c r="N415">
        <f t="shared" si="182"/>
        <v>5.6</v>
      </c>
      <c r="Q415">
        <f t="shared" si="188"/>
        <v>-574.4</v>
      </c>
      <c r="R415">
        <f t="shared" si="183"/>
        <v>5.6</v>
      </c>
      <c r="U415">
        <f t="shared" si="189"/>
        <v>-494.4</v>
      </c>
      <c r="V415">
        <f t="shared" si="178"/>
        <v>5.6</v>
      </c>
      <c r="Y415">
        <f t="shared" si="190"/>
        <v>-32.4</v>
      </c>
      <c r="Z415">
        <f t="shared" si="179"/>
        <v>5.6</v>
      </c>
    </row>
    <row r="416" spans="1:26" x14ac:dyDescent="0.4">
      <c r="A416">
        <f t="shared" si="184"/>
        <v>-54</v>
      </c>
      <c r="B416">
        <f t="shared" si="177"/>
        <v>6</v>
      </c>
      <c r="E416">
        <f t="shared" si="185"/>
        <v>-42</v>
      </c>
      <c r="F416">
        <f t="shared" si="180"/>
        <v>6</v>
      </c>
      <c r="I416">
        <f t="shared" si="186"/>
        <v>-47</v>
      </c>
      <c r="J416">
        <f t="shared" si="181"/>
        <v>6</v>
      </c>
      <c r="M416">
        <f t="shared" si="187"/>
        <v>-6</v>
      </c>
      <c r="N416">
        <f t="shared" si="182"/>
        <v>6</v>
      </c>
      <c r="Q416">
        <f t="shared" si="188"/>
        <v>-574</v>
      </c>
      <c r="R416">
        <f t="shared" si="183"/>
        <v>6</v>
      </c>
      <c r="U416">
        <f t="shared" si="189"/>
        <v>-494</v>
      </c>
      <c r="V416">
        <f t="shared" si="178"/>
        <v>6</v>
      </c>
      <c r="Y416">
        <f t="shared" si="190"/>
        <v>-32</v>
      </c>
      <c r="Z416">
        <f t="shared" si="179"/>
        <v>6</v>
      </c>
    </row>
    <row r="417" spans="1:26" x14ac:dyDescent="0.4">
      <c r="A417">
        <f t="shared" si="184"/>
        <v>-53.7</v>
      </c>
      <c r="B417">
        <f t="shared" si="177"/>
        <v>6.3</v>
      </c>
      <c r="E417">
        <f t="shared" si="185"/>
        <v>-41.7</v>
      </c>
      <c r="F417">
        <f t="shared" si="180"/>
        <v>6.3</v>
      </c>
      <c r="I417">
        <f t="shared" si="186"/>
        <v>-46.7</v>
      </c>
      <c r="J417">
        <f t="shared" si="181"/>
        <v>6.3</v>
      </c>
      <c r="M417">
        <f t="shared" si="187"/>
        <v>-5.7</v>
      </c>
      <c r="N417">
        <f t="shared" si="182"/>
        <v>6.3</v>
      </c>
      <c r="Q417">
        <f t="shared" si="188"/>
        <v>-573.70000000000005</v>
      </c>
      <c r="R417">
        <f t="shared" si="183"/>
        <v>6.3</v>
      </c>
      <c r="U417">
        <f t="shared" si="189"/>
        <v>-493.7</v>
      </c>
      <c r="V417">
        <f t="shared" si="178"/>
        <v>6.3</v>
      </c>
      <c r="Y417">
        <f t="shared" si="190"/>
        <v>-31.7</v>
      </c>
      <c r="Z417">
        <f t="shared" si="179"/>
        <v>6.3</v>
      </c>
    </row>
    <row r="418" spans="1:26" x14ac:dyDescent="0.4">
      <c r="A418">
        <f t="shared" si="184"/>
        <v>-53.3</v>
      </c>
      <c r="B418">
        <f t="shared" si="177"/>
        <v>6.7</v>
      </c>
      <c r="E418">
        <f t="shared" si="185"/>
        <v>-41.3</v>
      </c>
      <c r="F418">
        <f t="shared" si="180"/>
        <v>6.7</v>
      </c>
      <c r="I418">
        <f t="shared" si="186"/>
        <v>-46.3</v>
      </c>
      <c r="J418">
        <f t="shared" si="181"/>
        <v>6.7</v>
      </c>
      <c r="M418">
        <f t="shared" si="187"/>
        <v>-5.3</v>
      </c>
      <c r="N418">
        <f t="shared" si="182"/>
        <v>6.7</v>
      </c>
      <c r="Q418">
        <f t="shared" si="188"/>
        <v>-573.29999999999995</v>
      </c>
      <c r="R418">
        <f t="shared" si="183"/>
        <v>6.7</v>
      </c>
      <c r="U418">
        <f t="shared" si="189"/>
        <v>-493.3</v>
      </c>
      <c r="V418">
        <f t="shared" si="178"/>
        <v>6.7</v>
      </c>
      <c r="Y418">
        <f t="shared" si="190"/>
        <v>-31.3</v>
      </c>
      <c r="Z418">
        <f t="shared" si="179"/>
        <v>6.7</v>
      </c>
    </row>
    <row r="419" spans="1:26" x14ac:dyDescent="0.4">
      <c r="A419">
        <f t="shared" si="184"/>
        <v>-52.9</v>
      </c>
      <c r="B419">
        <f t="shared" si="177"/>
        <v>7.1</v>
      </c>
      <c r="E419">
        <f t="shared" si="185"/>
        <v>-40.9</v>
      </c>
      <c r="F419">
        <f t="shared" si="180"/>
        <v>7.1</v>
      </c>
      <c r="I419">
        <f t="shared" si="186"/>
        <v>-45.9</v>
      </c>
      <c r="J419">
        <f t="shared" si="181"/>
        <v>7.1</v>
      </c>
      <c r="M419">
        <f t="shared" si="187"/>
        <v>-4.9000000000000004</v>
      </c>
      <c r="N419">
        <f t="shared" si="182"/>
        <v>7.1</v>
      </c>
      <c r="Q419">
        <f t="shared" si="188"/>
        <v>-572.9</v>
      </c>
      <c r="R419">
        <f t="shared" si="183"/>
        <v>7.1</v>
      </c>
      <c r="U419">
        <f t="shared" si="189"/>
        <v>-492.9</v>
      </c>
      <c r="V419">
        <f t="shared" si="178"/>
        <v>7.1</v>
      </c>
      <c r="Y419">
        <f t="shared" si="190"/>
        <v>-30.9</v>
      </c>
      <c r="Z419">
        <f t="shared" si="179"/>
        <v>7.1</v>
      </c>
    </row>
    <row r="420" spans="1:26" x14ac:dyDescent="0.4">
      <c r="A420">
        <f t="shared" si="184"/>
        <v>-52.5</v>
      </c>
      <c r="B420">
        <f t="shared" si="177"/>
        <v>7.5</v>
      </c>
      <c r="E420">
        <f t="shared" si="185"/>
        <v>-40.5</v>
      </c>
      <c r="F420">
        <f t="shared" si="180"/>
        <v>7.5</v>
      </c>
      <c r="I420">
        <f t="shared" si="186"/>
        <v>-45.5</v>
      </c>
      <c r="J420">
        <f t="shared" si="181"/>
        <v>7.5</v>
      </c>
      <c r="M420">
        <f t="shared" si="187"/>
        <v>-4.5</v>
      </c>
      <c r="N420">
        <f t="shared" si="182"/>
        <v>7.5</v>
      </c>
      <c r="Q420">
        <f t="shared" si="188"/>
        <v>-572.5</v>
      </c>
      <c r="R420">
        <f t="shared" si="183"/>
        <v>7.5</v>
      </c>
      <c r="U420">
        <f t="shared" si="189"/>
        <v>-492.5</v>
      </c>
      <c r="V420">
        <f t="shared" si="178"/>
        <v>7.5</v>
      </c>
      <c r="Y420">
        <f t="shared" si="190"/>
        <v>-30.5</v>
      </c>
      <c r="Z420">
        <f t="shared" si="179"/>
        <v>7.5</v>
      </c>
    </row>
    <row r="421" spans="1:26" x14ac:dyDescent="0.4">
      <c r="A421">
        <f t="shared" si="184"/>
        <v>-52</v>
      </c>
      <c r="B421">
        <f t="shared" si="177"/>
        <v>8</v>
      </c>
      <c r="E421">
        <f t="shared" si="185"/>
        <v>-40</v>
      </c>
      <c r="F421">
        <f t="shared" si="180"/>
        <v>8</v>
      </c>
      <c r="I421">
        <f t="shared" si="186"/>
        <v>-45</v>
      </c>
      <c r="J421">
        <f t="shared" si="181"/>
        <v>8</v>
      </c>
      <c r="M421">
        <f t="shared" si="187"/>
        <v>-4</v>
      </c>
      <c r="N421">
        <f t="shared" si="182"/>
        <v>8</v>
      </c>
      <c r="Q421">
        <f t="shared" si="188"/>
        <v>-572</v>
      </c>
      <c r="R421">
        <f t="shared" si="183"/>
        <v>8</v>
      </c>
      <c r="U421">
        <f t="shared" si="189"/>
        <v>-492</v>
      </c>
      <c r="V421">
        <f t="shared" si="178"/>
        <v>8</v>
      </c>
      <c r="Y421">
        <f t="shared" si="190"/>
        <v>-30</v>
      </c>
      <c r="Z421">
        <f t="shared" si="179"/>
        <v>8</v>
      </c>
    </row>
    <row r="422" spans="1:26" x14ac:dyDescent="0.4">
      <c r="A422">
        <f t="shared" si="184"/>
        <v>-51.5</v>
      </c>
      <c r="B422">
        <f t="shared" si="177"/>
        <v>8.5</v>
      </c>
      <c r="E422">
        <f t="shared" si="185"/>
        <v>-39.5</v>
      </c>
      <c r="F422">
        <f t="shared" si="180"/>
        <v>8.5</v>
      </c>
      <c r="I422">
        <f t="shared" si="186"/>
        <v>-44.5</v>
      </c>
      <c r="J422">
        <f t="shared" si="181"/>
        <v>8.5</v>
      </c>
      <c r="M422">
        <f t="shared" si="187"/>
        <v>-3.5</v>
      </c>
      <c r="N422">
        <f t="shared" si="182"/>
        <v>8.5</v>
      </c>
      <c r="Q422">
        <f t="shared" si="188"/>
        <v>-571.5</v>
      </c>
      <c r="R422">
        <f t="shared" si="183"/>
        <v>8.5</v>
      </c>
      <c r="U422">
        <f t="shared" si="189"/>
        <v>-491.5</v>
      </c>
      <c r="V422">
        <f t="shared" si="178"/>
        <v>8.5</v>
      </c>
      <c r="Y422">
        <f t="shared" si="190"/>
        <v>-29.5</v>
      </c>
      <c r="Z422">
        <f t="shared" si="179"/>
        <v>8.5</v>
      </c>
    </row>
    <row r="423" spans="1:26" x14ac:dyDescent="0.4">
      <c r="A423">
        <f t="shared" si="184"/>
        <v>-51</v>
      </c>
      <c r="B423">
        <f t="shared" si="177"/>
        <v>9</v>
      </c>
      <c r="E423">
        <f t="shared" si="185"/>
        <v>-39</v>
      </c>
      <c r="F423">
        <f t="shared" si="180"/>
        <v>9</v>
      </c>
      <c r="I423">
        <f t="shared" si="186"/>
        <v>-44</v>
      </c>
      <c r="J423">
        <f t="shared" si="181"/>
        <v>9</v>
      </c>
      <c r="M423">
        <f t="shared" si="187"/>
        <v>-3</v>
      </c>
      <c r="N423">
        <f t="shared" si="182"/>
        <v>9</v>
      </c>
      <c r="Q423">
        <f t="shared" si="188"/>
        <v>-571</v>
      </c>
      <c r="R423">
        <f t="shared" si="183"/>
        <v>9</v>
      </c>
      <c r="U423">
        <f t="shared" si="189"/>
        <v>-491</v>
      </c>
      <c r="V423">
        <f t="shared" si="178"/>
        <v>9</v>
      </c>
      <c r="Y423">
        <f t="shared" si="190"/>
        <v>-29</v>
      </c>
      <c r="Z423">
        <f t="shared" si="179"/>
        <v>9</v>
      </c>
    </row>
    <row r="424" spans="1:26" x14ac:dyDescent="0.4">
      <c r="A424">
        <f t="shared" si="184"/>
        <v>-50.5</v>
      </c>
      <c r="B424">
        <f t="shared" si="177"/>
        <v>9.5</v>
      </c>
      <c r="E424">
        <f t="shared" si="185"/>
        <v>-38.5</v>
      </c>
      <c r="F424">
        <f t="shared" si="180"/>
        <v>9.5</v>
      </c>
      <c r="I424">
        <f t="shared" si="186"/>
        <v>-43.5</v>
      </c>
      <c r="J424">
        <f t="shared" si="181"/>
        <v>9.5</v>
      </c>
      <c r="M424">
        <f t="shared" si="187"/>
        <v>-2.5</v>
      </c>
      <c r="N424">
        <f t="shared" si="182"/>
        <v>9.5</v>
      </c>
      <c r="Q424">
        <f t="shared" si="188"/>
        <v>-570.5</v>
      </c>
      <c r="R424">
        <f t="shared" si="183"/>
        <v>9.5</v>
      </c>
      <c r="U424">
        <f t="shared" si="189"/>
        <v>-490.5</v>
      </c>
      <c r="V424">
        <f t="shared" si="178"/>
        <v>9.5</v>
      </c>
      <c r="Y424">
        <f t="shared" si="190"/>
        <v>-28.5</v>
      </c>
      <c r="Z424">
        <f t="shared" si="179"/>
        <v>9.5</v>
      </c>
    </row>
    <row r="425" spans="1:26" x14ac:dyDescent="0.4">
      <c r="A425">
        <f t="shared" si="184"/>
        <v>-50</v>
      </c>
      <c r="B425">
        <f t="shared" si="177"/>
        <v>10</v>
      </c>
      <c r="E425">
        <f t="shared" si="185"/>
        <v>-38</v>
      </c>
      <c r="F425">
        <f t="shared" si="180"/>
        <v>10</v>
      </c>
      <c r="I425">
        <f t="shared" si="186"/>
        <v>-43</v>
      </c>
      <c r="J425">
        <f t="shared" si="181"/>
        <v>10</v>
      </c>
      <c r="M425">
        <f t="shared" si="187"/>
        <v>-2</v>
      </c>
      <c r="N425">
        <f t="shared" si="182"/>
        <v>10</v>
      </c>
      <c r="Q425">
        <f t="shared" si="188"/>
        <v>-570</v>
      </c>
      <c r="R425">
        <f t="shared" si="183"/>
        <v>10</v>
      </c>
      <c r="U425">
        <f t="shared" si="189"/>
        <v>-490</v>
      </c>
      <c r="V425">
        <f t="shared" si="178"/>
        <v>10</v>
      </c>
      <c r="Y425">
        <f t="shared" si="190"/>
        <v>-28</v>
      </c>
      <c r="Z425">
        <f t="shared" si="179"/>
        <v>10</v>
      </c>
    </row>
    <row r="426" spans="1:26" x14ac:dyDescent="0.4">
      <c r="A426">
        <f t="shared" si="184"/>
        <v>-49.4</v>
      </c>
      <c r="B426">
        <f t="shared" si="177"/>
        <v>10.600000000000001</v>
      </c>
      <c r="E426">
        <f t="shared" si="185"/>
        <v>-37.4</v>
      </c>
      <c r="F426">
        <f t="shared" si="180"/>
        <v>10.600000000000001</v>
      </c>
      <c r="I426">
        <f t="shared" si="186"/>
        <v>-42.4</v>
      </c>
      <c r="J426">
        <f t="shared" si="181"/>
        <v>10.600000000000001</v>
      </c>
      <c r="M426">
        <f t="shared" si="187"/>
        <v>-1.3999999999999986</v>
      </c>
      <c r="N426">
        <f t="shared" si="182"/>
        <v>10.600000000000001</v>
      </c>
      <c r="Q426">
        <f t="shared" si="188"/>
        <v>-569.4</v>
      </c>
      <c r="R426">
        <f t="shared" si="183"/>
        <v>10.600000000000001</v>
      </c>
      <c r="U426">
        <f t="shared" si="189"/>
        <v>-489.4</v>
      </c>
      <c r="V426">
        <f t="shared" si="178"/>
        <v>10.600000000000001</v>
      </c>
      <c r="Y426">
        <f t="shared" si="190"/>
        <v>-27.4</v>
      </c>
      <c r="Z426">
        <f t="shared" si="179"/>
        <v>10.600000000000001</v>
      </c>
    </row>
    <row r="427" spans="1:26" x14ac:dyDescent="0.4">
      <c r="A427">
        <f t="shared" si="184"/>
        <v>-48.8</v>
      </c>
      <c r="B427">
        <f t="shared" si="177"/>
        <v>11.200000000000001</v>
      </c>
      <c r="E427">
        <f t="shared" si="185"/>
        <v>-36.799999999999997</v>
      </c>
      <c r="F427">
        <f t="shared" si="180"/>
        <v>11.200000000000001</v>
      </c>
      <c r="I427">
        <f t="shared" si="186"/>
        <v>-41.8</v>
      </c>
      <c r="J427">
        <f t="shared" si="181"/>
        <v>11.200000000000001</v>
      </c>
      <c r="M427">
        <f t="shared" si="187"/>
        <v>-0.79999999999999893</v>
      </c>
      <c r="N427">
        <f t="shared" si="182"/>
        <v>11.200000000000001</v>
      </c>
      <c r="Q427">
        <f t="shared" si="188"/>
        <v>-568.79999999999995</v>
      </c>
      <c r="R427">
        <f t="shared" si="183"/>
        <v>11.200000000000001</v>
      </c>
      <c r="U427">
        <f t="shared" si="189"/>
        <v>-488.8</v>
      </c>
      <c r="V427">
        <f t="shared" si="178"/>
        <v>11.200000000000001</v>
      </c>
      <c r="Y427">
        <f t="shared" si="190"/>
        <v>-26.799999999999997</v>
      </c>
      <c r="Z427">
        <f t="shared" si="179"/>
        <v>11.200000000000001</v>
      </c>
    </row>
    <row r="428" spans="1:26" x14ac:dyDescent="0.4">
      <c r="A428">
        <f t="shared" si="184"/>
        <v>-48.2</v>
      </c>
      <c r="B428">
        <f t="shared" si="177"/>
        <v>11.799999999999999</v>
      </c>
      <c r="E428">
        <f t="shared" si="185"/>
        <v>-36.200000000000003</v>
      </c>
      <c r="F428">
        <f t="shared" si="180"/>
        <v>11.799999999999999</v>
      </c>
      <c r="I428">
        <f t="shared" si="186"/>
        <v>-41.2</v>
      </c>
      <c r="J428">
        <f t="shared" si="181"/>
        <v>11.799999999999999</v>
      </c>
      <c r="M428">
        <f t="shared" si="187"/>
        <v>-0.20000000000000107</v>
      </c>
      <c r="N428">
        <f t="shared" si="182"/>
        <v>11.799999999999999</v>
      </c>
      <c r="Q428">
        <f t="shared" si="188"/>
        <v>-568.20000000000005</v>
      </c>
      <c r="R428">
        <f t="shared" si="183"/>
        <v>11.799999999999999</v>
      </c>
      <c r="U428">
        <f t="shared" si="189"/>
        <v>-488.2</v>
      </c>
      <c r="V428">
        <f t="shared" si="178"/>
        <v>11.799999999999999</v>
      </c>
      <c r="Y428">
        <f t="shared" si="190"/>
        <v>-26.200000000000003</v>
      </c>
      <c r="Z428">
        <f t="shared" si="179"/>
        <v>11.799999999999999</v>
      </c>
    </row>
    <row r="429" spans="1:26" x14ac:dyDescent="0.4">
      <c r="A429">
        <f t="shared" si="184"/>
        <v>-47.5</v>
      </c>
      <c r="B429">
        <f t="shared" si="177"/>
        <v>12.5</v>
      </c>
      <c r="E429">
        <f t="shared" si="185"/>
        <v>-35.5</v>
      </c>
      <c r="F429">
        <f t="shared" si="180"/>
        <v>12.5</v>
      </c>
      <c r="I429">
        <f t="shared" si="186"/>
        <v>-40.5</v>
      </c>
      <c r="J429">
        <f t="shared" si="181"/>
        <v>12.5</v>
      </c>
      <c r="M429">
        <f t="shared" si="187"/>
        <v>0.5</v>
      </c>
      <c r="N429">
        <f t="shared" si="182"/>
        <v>12.5</v>
      </c>
      <c r="Q429">
        <f t="shared" si="188"/>
        <v>-567.5</v>
      </c>
      <c r="R429">
        <f t="shared" si="183"/>
        <v>12.5</v>
      </c>
      <c r="U429">
        <f t="shared" si="189"/>
        <v>-487.5</v>
      </c>
      <c r="V429">
        <f t="shared" si="178"/>
        <v>12.5</v>
      </c>
      <c r="Y429">
        <f t="shared" si="190"/>
        <v>-25.5</v>
      </c>
      <c r="Z429">
        <f t="shared" si="179"/>
        <v>12.5</v>
      </c>
    </row>
    <row r="430" spans="1:26" x14ac:dyDescent="0.4">
      <c r="A430">
        <f t="shared" si="184"/>
        <v>-46.8</v>
      </c>
      <c r="B430">
        <f t="shared" si="177"/>
        <v>13.200000000000001</v>
      </c>
      <c r="E430">
        <f t="shared" si="185"/>
        <v>-34.799999999999997</v>
      </c>
      <c r="F430">
        <f t="shared" si="180"/>
        <v>13.200000000000001</v>
      </c>
      <c r="I430">
        <f t="shared" si="186"/>
        <v>-39.799999999999997</v>
      </c>
      <c r="J430">
        <f t="shared" si="181"/>
        <v>13.200000000000001</v>
      </c>
      <c r="M430">
        <f t="shared" si="187"/>
        <v>1.2000000000000011</v>
      </c>
      <c r="N430">
        <f t="shared" si="182"/>
        <v>13.200000000000001</v>
      </c>
      <c r="Q430">
        <f t="shared" si="188"/>
        <v>-566.79999999999995</v>
      </c>
      <c r="R430">
        <f t="shared" si="183"/>
        <v>13.200000000000001</v>
      </c>
      <c r="U430">
        <f t="shared" si="189"/>
        <v>-486.8</v>
      </c>
      <c r="V430">
        <f t="shared" si="178"/>
        <v>13.200000000000001</v>
      </c>
      <c r="Y430">
        <f t="shared" si="190"/>
        <v>-24.799999999999997</v>
      </c>
      <c r="Z430">
        <f t="shared" si="179"/>
        <v>13.200000000000001</v>
      </c>
    </row>
    <row r="431" spans="1:26" x14ac:dyDescent="0.4">
      <c r="A431">
        <f t="shared" si="184"/>
        <v>-46</v>
      </c>
      <c r="B431">
        <f t="shared" si="177"/>
        <v>14</v>
      </c>
      <c r="E431">
        <f t="shared" si="185"/>
        <v>-34</v>
      </c>
      <c r="F431">
        <f t="shared" si="180"/>
        <v>14</v>
      </c>
      <c r="I431">
        <f t="shared" si="186"/>
        <v>-39</v>
      </c>
      <c r="J431">
        <f t="shared" si="181"/>
        <v>14</v>
      </c>
      <c r="M431">
        <f t="shared" si="187"/>
        <v>2</v>
      </c>
      <c r="N431">
        <f t="shared" si="182"/>
        <v>14</v>
      </c>
      <c r="Q431">
        <f t="shared" si="188"/>
        <v>-566</v>
      </c>
      <c r="R431">
        <f t="shared" si="183"/>
        <v>14</v>
      </c>
      <c r="U431">
        <f t="shared" si="189"/>
        <v>-486</v>
      </c>
      <c r="V431">
        <f t="shared" si="178"/>
        <v>14</v>
      </c>
      <c r="Y431">
        <f t="shared" si="190"/>
        <v>-24</v>
      </c>
      <c r="Z431">
        <f t="shared" si="179"/>
        <v>14</v>
      </c>
    </row>
    <row r="432" spans="1:26" x14ac:dyDescent="0.4">
      <c r="A432">
        <f t="shared" si="184"/>
        <v>-45</v>
      </c>
      <c r="B432">
        <f t="shared" si="177"/>
        <v>15</v>
      </c>
      <c r="E432">
        <f t="shared" si="185"/>
        <v>-33</v>
      </c>
      <c r="F432">
        <f t="shared" si="180"/>
        <v>15</v>
      </c>
      <c r="I432">
        <f t="shared" si="186"/>
        <v>-38</v>
      </c>
      <c r="J432">
        <f t="shared" si="181"/>
        <v>15</v>
      </c>
      <c r="M432">
        <f t="shared" si="187"/>
        <v>3</v>
      </c>
      <c r="N432">
        <f t="shared" si="182"/>
        <v>15</v>
      </c>
      <c r="Q432">
        <f t="shared" si="188"/>
        <v>-565</v>
      </c>
      <c r="R432">
        <f t="shared" si="183"/>
        <v>15</v>
      </c>
      <c r="U432">
        <f t="shared" si="189"/>
        <v>-485</v>
      </c>
      <c r="V432">
        <f t="shared" si="178"/>
        <v>15</v>
      </c>
      <c r="Y432">
        <f t="shared" si="190"/>
        <v>-23</v>
      </c>
      <c r="Z432">
        <f t="shared" si="179"/>
        <v>15</v>
      </c>
    </row>
    <row r="433" spans="1:26" x14ac:dyDescent="0.4">
      <c r="A433">
        <f t="shared" si="184"/>
        <v>-44</v>
      </c>
      <c r="B433">
        <f t="shared" si="177"/>
        <v>16</v>
      </c>
      <c r="E433">
        <f t="shared" si="185"/>
        <v>-32</v>
      </c>
      <c r="F433">
        <f t="shared" si="180"/>
        <v>16</v>
      </c>
      <c r="I433">
        <f t="shared" si="186"/>
        <v>-37</v>
      </c>
      <c r="J433">
        <f t="shared" si="181"/>
        <v>16</v>
      </c>
      <c r="M433">
        <f t="shared" si="187"/>
        <v>4</v>
      </c>
      <c r="N433">
        <f t="shared" si="182"/>
        <v>16</v>
      </c>
      <c r="Q433">
        <f t="shared" si="188"/>
        <v>-564</v>
      </c>
      <c r="R433">
        <f t="shared" si="183"/>
        <v>16</v>
      </c>
      <c r="U433">
        <f t="shared" si="189"/>
        <v>-484</v>
      </c>
      <c r="V433">
        <f t="shared" si="178"/>
        <v>16</v>
      </c>
      <c r="Y433">
        <f t="shared" si="190"/>
        <v>-22</v>
      </c>
      <c r="Z433">
        <f t="shared" si="179"/>
        <v>16</v>
      </c>
    </row>
    <row r="434" spans="1:26" x14ac:dyDescent="0.4">
      <c r="A434">
        <f t="shared" si="184"/>
        <v>-43</v>
      </c>
      <c r="B434">
        <f t="shared" si="177"/>
        <v>16.999999999999996</v>
      </c>
      <c r="E434">
        <f t="shared" si="185"/>
        <v>-31.000000000000004</v>
      </c>
      <c r="F434">
        <f t="shared" si="180"/>
        <v>16.999999999999996</v>
      </c>
      <c r="I434">
        <f t="shared" si="186"/>
        <v>-36</v>
      </c>
      <c r="J434">
        <f t="shared" si="181"/>
        <v>16.999999999999996</v>
      </c>
      <c r="M434">
        <f t="shared" si="187"/>
        <v>4.9999999999999964</v>
      </c>
      <c r="N434">
        <f t="shared" si="182"/>
        <v>16.999999999999996</v>
      </c>
      <c r="Q434">
        <f t="shared" si="188"/>
        <v>-563</v>
      </c>
      <c r="R434">
        <f t="shared" si="183"/>
        <v>16.999999999999996</v>
      </c>
      <c r="U434">
        <f t="shared" si="189"/>
        <v>-483</v>
      </c>
      <c r="V434">
        <f t="shared" si="178"/>
        <v>16.999999999999996</v>
      </c>
      <c r="Y434">
        <f t="shared" si="190"/>
        <v>-21.000000000000004</v>
      </c>
      <c r="Z434">
        <f t="shared" si="179"/>
        <v>16.999999999999996</v>
      </c>
    </row>
    <row r="435" spans="1:26" x14ac:dyDescent="0.4">
      <c r="A435">
        <f t="shared" si="184"/>
        <v>-42</v>
      </c>
      <c r="B435">
        <f t="shared" si="177"/>
        <v>18</v>
      </c>
      <c r="E435">
        <f t="shared" si="185"/>
        <v>-30</v>
      </c>
      <c r="F435">
        <f t="shared" si="180"/>
        <v>18</v>
      </c>
      <c r="I435">
        <f t="shared" si="186"/>
        <v>-35</v>
      </c>
      <c r="J435">
        <f t="shared" si="181"/>
        <v>18</v>
      </c>
      <c r="M435">
        <f t="shared" si="187"/>
        <v>6</v>
      </c>
      <c r="N435">
        <f t="shared" si="182"/>
        <v>18</v>
      </c>
      <c r="Q435">
        <f t="shared" si="188"/>
        <v>-562</v>
      </c>
      <c r="R435">
        <f t="shared" si="183"/>
        <v>18</v>
      </c>
      <c r="U435">
        <f t="shared" si="189"/>
        <v>-482</v>
      </c>
      <c r="V435">
        <f t="shared" si="178"/>
        <v>18</v>
      </c>
      <c r="Y435">
        <f t="shared" si="190"/>
        <v>-20</v>
      </c>
      <c r="Z435">
        <f t="shared" si="179"/>
        <v>18</v>
      </c>
    </row>
    <row r="436" spans="1:26" x14ac:dyDescent="0.4">
      <c r="A436">
        <f t="shared" si="184"/>
        <v>-41</v>
      </c>
      <c r="B436">
        <f t="shared" si="177"/>
        <v>19</v>
      </c>
      <c r="E436">
        <f t="shared" si="185"/>
        <v>-29</v>
      </c>
      <c r="F436">
        <f t="shared" si="180"/>
        <v>19</v>
      </c>
      <c r="I436">
        <f t="shared" si="186"/>
        <v>-34</v>
      </c>
      <c r="J436">
        <f t="shared" si="181"/>
        <v>19</v>
      </c>
      <c r="M436">
        <f t="shared" si="187"/>
        <v>7</v>
      </c>
      <c r="N436">
        <f t="shared" si="182"/>
        <v>19</v>
      </c>
      <c r="Q436">
        <f t="shared" si="188"/>
        <v>-561</v>
      </c>
      <c r="R436">
        <f t="shared" si="183"/>
        <v>19</v>
      </c>
      <c r="U436">
        <f t="shared" si="189"/>
        <v>-481</v>
      </c>
      <c r="V436">
        <f t="shared" si="178"/>
        <v>19</v>
      </c>
      <c r="Y436">
        <f t="shared" si="190"/>
        <v>-19</v>
      </c>
      <c r="Z436">
        <f t="shared" si="179"/>
        <v>19</v>
      </c>
    </row>
    <row r="437" spans="1:26" x14ac:dyDescent="0.4">
      <c r="A437">
        <f t="shared" si="184"/>
        <v>-40</v>
      </c>
      <c r="B437">
        <f t="shared" si="177"/>
        <v>20</v>
      </c>
      <c r="E437">
        <f t="shared" si="185"/>
        <v>-28</v>
      </c>
      <c r="F437">
        <f t="shared" si="180"/>
        <v>20</v>
      </c>
      <c r="I437">
        <f t="shared" si="186"/>
        <v>-33</v>
      </c>
      <c r="J437">
        <f t="shared" si="181"/>
        <v>20</v>
      </c>
      <c r="M437">
        <f t="shared" si="187"/>
        <v>8</v>
      </c>
      <c r="N437">
        <f t="shared" si="182"/>
        <v>20</v>
      </c>
      <c r="Q437">
        <f t="shared" si="188"/>
        <v>-560</v>
      </c>
      <c r="R437">
        <f t="shared" si="183"/>
        <v>20</v>
      </c>
      <c r="U437">
        <f t="shared" si="189"/>
        <v>-480</v>
      </c>
      <c r="V437">
        <f t="shared" si="178"/>
        <v>20</v>
      </c>
      <c r="Y437">
        <f t="shared" si="190"/>
        <v>-18</v>
      </c>
      <c r="Z437">
        <f t="shared" si="179"/>
        <v>20</v>
      </c>
    </row>
    <row r="438" spans="1:26" x14ac:dyDescent="0.4">
      <c r="A438">
        <f t="shared" si="184"/>
        <v>-38.799999999999997</v>
      </c>
      <c r="B438">
        <f t="shared" si="177"/>
        <v>21.200000000000003</v>
      </c>
      <c r="E438">
        <f t="shared" si="185"/>
        <v>-26.799999999999997</v>
      </c>
      <c r="F438">
        <f t="shared" si="180"/>
        <v>21.200000000000003</v>
      </c>
      <c r="I438">
        <f t="shared" si="186"/>
        <v>-31.799999999999997</v>
      </c>
      <c r="J438">
        <f t="shared" si="181"/>
        <v>21.200000000000003</v>
      </c>
      <c r="M438">
        <f t="shared" si="187"/>
        <v>9.2000000000000028</v>
      </c>
      <c r="N438">
        <f t="shared" si="182"/>
        <v>21.200000000000003</v>
      </c>
      <c r="Q438">
        <f t="shared" si="188"/>
        <v>-558.79999999999995</v>
      </c>
      <c r="R438">
        <f t="shared" si="183"/>
        <v>21.200000000000003</v>
      </c>
      <c r="U438">
        <f t="shared" si="189"/>
        <v>-478.8</v>
      </c>
      <c r="V438">
        <f t="shared" si="178"/>
        <v>21.200000000000003</v>
      </c>
      <c r="Y438">
        <f t="shared" si="190"/>
        <v>-16.799999999999997</v>
      </c>
      <c r="Z438">
        <f t="shared" si="179"/>
        <v>21.200000000000003</v>
      </c>
    </row>
    <row r="439" spans="1:26" x14ac:dyDescent="0.4">
      <c r="A439">
        <f t="shared" si="184"/>
        <v>-37.599999999999994</v>
      </c>
      <c r="B439">
        <f t="shared" si="177"/>
        <v>22.400000000000002</v>
      </c>
      <c r="E439">
        <f t="shared" si="185"/>
        <v>-25.599999999999998</v>
      </c>
      <c r="F439">
        <f t="shared" si="180"/>
        <v>22.400000000000002</v>
      </c>
      <c r="I439">
        <f t="shared" si="186"/>
        <v>-30.599999999999998</v>
      </c>
      <c r="J439">
        <f t="shared" si="181"/>
        <v>22.400000000000002</v>
      </c>
      <c r="M439">
        <f t="shared" si="187"/>
        <v>10.400000000000002</v>
      </c>
      <c r="N439">
        <f t="shared" si="182"/>
        <v>22.400000000000002</v>
      </c>
      <c r="Q439">
        <f t="shared" si="188"/>
        <v>-557.6</v>
      </c>
      <c r="R439">
        <f t="shared" si="183"/>
        <v>22.400000000000002</v>
      </c>
      <c r="U439">
        <f t="shared" si="189"/>
        <v>-477.6</v>
      </c>
      <c r="V439">
        <f t="shared" si="178"/>
        <v>22.400000000000002</v>
      </c>
      <c r="Y439">
        <f t="shared" si="190"/>
        <v>-15.599999999999998</v>
      </c>
      <c r="Z439">
        <f t="shared" si="179"/>
        <v>22.400000000000002</v>
      </c>
    </row>
    <row r="440" spans="1:26" x14ac:dyDescent="0.4">
      <c r="A440">
        <f t="shared" si="184"/>
        <v>-36.400000000000006</v>
      </c>
      <c r="B440">
        <f t="shared" si="177"/>
        <v>23.599999999999998</v>
      </c>
      <c r="E440">
        <f t="shared" si="185"/>
        <v>-24.400000000000002</v>
      </c>
      <c r="F440">
        <f t="shared" si="180"/>
        <v>23.599999999999998</v>
      </c>
      <c r="I440">
        <f t="shared" si="186"/>
        <v>-29.400000000000002</v>
      </c>
      <c r="J440">
        <f t="shared" si="181"/>
        <v>23.599999999999998</v>
      </c>
      <c r="M440">
        <f t="shared" si="187"/>
        <v>11.599999999999998</v>
      </c>
      <c r="N440">
        <f t="shared" si="182"/>
        <v>23.599999999999998</v>
      </c>
      <c r="Q440">
        <f t="shared" si="188"/>
        <v>-556.4</v>
      </c>
      <c r="R440">
        <f t="shared" si="183"/>
        <v>23.599999999999998</v>
      </c>
      <c r="U440">
        <f t="shared" si="189"/>
        <v>-476.4</v>
      </c>
      <c r="V440">
        <f t="shared" si="178"/>
        <v>23.599999999999998</v>
      </c>
      <c r="Y440">
        <f t="shared" si="190"/>
        <v>-14.400000000000002</v>
      </c>
      <c r="Z440">
        <f t="shared" si="179"/>
        <v>23.599999999999998</v>
      </c>
    </row>
    <row r="441" spans="1:26" x14ac:dyDescent="0.4">
      <c r="A441">
        <f t="shared" si="184"/>
        <v>-35</v>
      </c>
      <c r="B441">
        <f t="shared" si="177"/>
        <v>25</v>
      </c>
      <c r="E441">
        <f t="shared" si="185"/>
        <v>-23</v>
      </c>
      <c r="F441">
        <f t="shared" si="180"/>
        <v>25</v>
      </c>
      <c r="I441">
        <f t="shared" si="186"/>
        <v>-28</v>
      </c>
      <c r="J441">
        <f t="shared" si="181"/>
        <v>25</v>
      </c>
      <c r="M441">
        <f t="shared" si="187"/>
        <v>13</v>
      </c>
      <c r="N441">
        <f t="shared" si="182"/>
        <v>25</v>
      </c>
      <c r="Q441">
        <f t="shared" si="188"/>
        <v>-555</v>
      </c>
      <c r="R441">
        <f t="shared" si="183"/>
        <v>25</v>
      </c>
      <c r="U441">
        <f t="shared" si="189"/>
        <v>-475</v>
      </c>
      <c r="V441">
        <f t="shared" si="178"/>
        <v>25</v>
      </c>
      <c r="Y441">
        <f t="shared" si="190"/>
        <v>-13</v>
      </c>
      <c r="Z441">
        <f t="shared" si="179"/>
        <v>25</v>
      </c>
    </row>
    <row r="442" spans="1:26" x14ac:dyDescent="0.4">
      <c r="A442">
        <f t="shared" si="184"/>
        <v>-33.5</v>
      </c>
      <c r="B442">
        <f t="shared" si="177"/>
        <v>26.500000000000004</v>
      </c>
      <c r="E442">
        <f t="shared" si="185"/>
        <v>-21.499999999999996</v>
      </c>
      <c r="F442">
        <f t="shared" si="180"/>
        <v>26.500000000000004</v>
      </c>
      <c r="I442">
        <f t="shared" si="186"/>
        <v>-26.499999999999996</v>
      </c>
      <c r="J442">
        <f t="shared" si="181"/>
        <v>26.500000000000004</v>
      </c>
      <c r="M442">
        <f t="shared" si="187"/>
        <v>14.500000000000004</v>
      </c>
      <c r="N442">
        <f t="shared" si="182"/>
        <v>26.500000000000004</v>
      </c>
      <c r="Q442">
        <f t="shared" si="188"/>
        <v>-553.5</v>
      </c>
      <c r="R442">
        <f t="shared" si="183"/>
        <v>26.500000000000004</v>
      </c>
      <c r="U442">
        <f t="shared" si="189"/>
        <v>-473.5</v>
      </c>
      <c r="V442">
        <f t="shared" si="178"/>
        <v>26.500000000000004</v>
      </c>
      <c r="Y442">
        <f t="shared" si="190"/>
        <v>-11.499999999999996</v>
      </c>
      <c r="Z442">
        <f t="shared" si="179"/>
        <v>26.500000000000004</v>
      </c>
    </row>
    <row r="443" spans="1:26" x14ac:dyDescent="0.4">
      <c r="A443">
        <f t="shared" si="184"/>
        <v>-32</v>
      </c>
      <c r="B443">
        <f t="shared" si="177"/>
        <v>28</v>
      </c>
      <c r="E443">
        <f t="shared" si="185"/>
        <v>-20</v>
      </c>
      <c r="F443">
        <f t="shared" si="180"/>
        <v>28</v>
      </c>
      <c r="I443">
        <f t="shared" si="186"/>
        <v>-25</v>
      </c>
      <c r="J443">
        <f t="shared" si="181"/>
        <v>28</v>
      </c>
      <c r="M443">
        <f t="shared" si="187"/>
        <v>16</v>
      </c>
      <c r="N443">
        <f t="shared" si="182"/>
        <v>28</v>
      </c>
      <c r="Q443">
        <f t="shared" si="188"/>
        <v>-552</v>
      </c>
      <c r="R443">
        <f t="shared" si="183"/>
        <v>28</v>
      </c>
      <c r="U443">
        <f t="shared" si="189"/>
        <v>-472</v>
      </c>
      <c r="V443">
        <f t="shared" si="178"/>
        <v>28</v>
      </c>
      <c r="Y443">
        <f t="shared" si="190"/>
        <v>-10</v>
      </c>
      <c r="Z443">
        <f t="shared" si="179"/>
        <v>28</v>
      </c>
    </row>
    <row r="444" spans="1:26" x14ac:dyDescent="0.4">
      <c r="A444">
        <f t="shared" si="184"/>
        <v>-30</v>
      </c>
      <c r="B444">
        <f t="shared" si="177"/>
        <v>30</v>
      </c>
      <c r="E444">
        <f t="shared" si="185"/>
        <v>-18</v>
      </c>
      <c r="F444">
        <f t="shared" si="180"/>
        <v>30</v>
      </c>
      <c r="I444">
        <f t="shared" si="186"/>
        <v>-23</v>
      </c>
      <c r="J444">
        <f t="shared" si="181"/>
        <v>30</v>
      </c>
      <c r="M444">
        <f t="shared" si="187"/>
        <v>18</v>
      </c>
      <c r="N444">
        <f t="shared" si="182"/>
        <v>30</v>
      </c>
      <c r="Q444">
        <f t="shared" si="188"/>
        <v>-550</v>
      </c>
      <c r="R444">
        <f t="shared" si="183"/>
        <v>30</v>
      </c>
      <c r="U444">
        <f t="shared" si="189"/>
        <v>-470</v>
      </c>
      <c r="V444">
        <f t="shared" si="178"/>
        <v>30</v>
      </c>
      <c r="Y444">
        <f t="shared" si="190"/>
        <v>-8</v>
      </c>
      <c r="Z444">
        <f t="shared" si="179"/>
        <v>30</v>
      </c>
    </row>
    <row r="445" spans="1:26" x14ac:dyDescent="0.4">
      <c r="A445">
        <f t="shared" si="184"/>
        <v>-28.5</v>
      </c>
      <c r="B445">
        <f t="shared" si="177"/>
        <v>31.5</v>
      </c>
      <c r="E445">
        <f t="shared" si="185"/>
        <v>-16.5</v>
      </c>
      <c r="F445">
        <f t="shared" si="180"/>
        <v>31.5</v>
      </c>
      <c r="I445">
        <f t="shared" si="186"/>
        <v>-21.5</v>
      </c>
      <c r="J445">
        <f t="shared" si="181"/>
        <v>31.5</v>
      </c>
      <c r="M445">
        <f t="shared" si="187"/>
        <v>19.5</v>
      </c>
      <c r="N445">
        <f t="shared" si="182"/>
        <v>31.5</v>
      </c>
      <c r="Q445">
        <f t="shared" si="188"/>
        <v>-548.5</v>
      </c>
      <c r="R445">
        <f t="shared" si="183"/>
        <v>31.5</v>
      </c>
      <c r="U445">
        <f t="shared" si="189"/>
        <v>-468.5</v>
      </c>
      <c r="V445">
        <f t="shared" si="178"/>
        <v>31.5</v>
      </c>
      <c r="Y445">
        <f t="shared" si="190"/>
        <v>-6.5</v>
      </c>
      <c r="Z445">
        <f t="shared" si="179"/>
        <v>31.5</v>
      </c>
    </row>
    <row r="446" spans="1:26" x14ac:dyDescent="0.4">
      <c r="A446">
        <f t="shared" si="184"/>
        <v>-26.5</v>
      </c>
      <c r="B446">
        <f t="shared" si="177"/>
        <v>33.5</v>
      </c>
      <c r="E446">
        <f t="shared" si="185"/>
        <v>-14.5</v>
      </c>
      <c r="F446">
        <f t="shared" si="180"/>
        <v>33.5</v>
      </c>
      <c r="I446">
        <f t="shared" si="186"/>
        <v>-19.5</v>
      </c>
      <c r="J446">
        <f t="shared" si="181"/>
        <v>33.5</v>
      </c>
      <c r="M446">
        <f t="shared" si="187"/>
        <v>21.5</v>
      </c>
      <c r="N446">
        <f t="shared" si="182"/>
        <v>33.5</v>
      </c>
      <c r="Q446">
        <f t="shared" si="188"/>
        <v>-546.5</v>
      </c>
      <c r="R446">
        <f t="shared" si="183"/>
        <v>33.5</v>
      </c>
      <c r="U446">
        <f t="shared" si="189"/>
        <v>-466.5</v>
      </c>
      <c r="V446">
        <f t="shared" si="178"/>
        <v>33.5</v>
      </c>
      <c r="Y446">
        <f t="shared" si="190"/>
        <v>-4.5</v>
      </c>
      <c r="Z446">
        <f t="shared" si="179"/>
        <v>33.5</v>
      </c>
    </row>
    <row r="447" spans="1:26" x14ac:dyDescent="0.4">
      <c r="A447">
        <f t="shared" si="184"/>
        <v>-24.5</v>
      </c>
      <c r="B447">
        <f t="shared" si="177"/>
        <v>35.5</v>
      </c>
      <c r="E447">
        <f t="shared" si="185"/>
        <v>-12.5</v>
      </c>
      <c r="F447">
        <f t="shared" si="180"/>
        <v>35.5</v>
      </c>
      <c r="I447">
        <f t="shared" si="186"/>
        <v>-17.5</v>
      </c>
      <c r="J447">
        <f t="shared" si="181"/>
        <v>35.5</v>
      </c>
      <c r="M447">
        <f t="shared" si="187"/>
        <v>23.5</v>
      </c>
      <c r="N447">
        <f t="shared" si="182"/>
        <v>35.5</v>
      </c>
      <c r="Q447">
        <f t="shared" si="188"/>
        <v>-544.5</v>
      </c>
      <c r="R447">
        <f t="shared" si="183"/>
        <v>35.5</v>
      </c>
      <c r="U447">
        <f t="shared" si="189"/>
        <v>-464.5</v>
      </c>
      <c r="V447">
        <f t="shared" si="178"/>
        <v>35.5</v>
      </c>
      <c r="Y447">
        <f t="shared" si="190"/>
        <v>-2.5</v>
      </c>
      <c r="Z447">
        <f t="shared" si="179"/>
        <v>35.5</v>
      </c>
    </row>
    <row r="448" spans="1:26" x14ac:dyDescent="0.4">
      <c r="A448">
        <f t="shared" si="184"/>
        <v>-22.5</v>
      </c>
      <c r="B448">
        <f t="shared" si="177"/>
        <v>37.5</v>
      </c>
      <c r="E448">
        <f t="shared" si="185"/>
        <v>-10.5</v>
      </c>
      <c r="F448">
        <f t="shared" si="180"/>
        <v>37.5</v>
      </c>
      <c r="I448">
        <f t="shared" si="186"/>
        <v>-15.5</v>
      </c>
      <c r="J448">
        <f t="shared" si="181"/>
        <v>37.5</v>
      </c>
      <c r="M448">
        <f t="shared" si="187"/>
        <v>25.5</v>
      </c>
      <c r="N448">
        <f t="shared" si="182"/>
        <v>37.5</v>
      </c>
      <c r="Q448">
        <f t="shared" si="188"/>
        <v>-542.5</v>
      </c>
      <c r="R448">
        <f t="shared" si="183"/>
        <v>37.5</v>
      </c>
      <c r="U448">
        <f t="shared" si="189"/>
        <v>-462.5</v>
      </c>
      <c r="V448">
        <f t="shared" si="178"/>
        <v>37.5</v>
      </c>
      <c r="Y448">
        <f t="shared" si="190"/>
        <v>-0.5</v>
      </c>
      <c r="Z448">
        <f t="shared" si="179"/>
        <v>37.5</v>
      </c>
    </row>
    <row r="449" spans="1:26" x14ac:dyDescent="0.4">
      <c r="A449">
        <f t="shared" si="184"/>
        <v>-20</v>
      </c>
      <c r="B449">
        <f t="shared" si="177"/>
        <v>40</v>
      </c>
      <c r="E449">
        <f t="shared" si="185"/>
        <v>-8</v>
      </c>
      <c r="F449">
        <f t="shared" si="180"/>
        <v>40</v>
      </c>
      <c r="I449">
        <f t="shared" si="186"/>
        <v>-13</v>
      </c>
      <c r="J449">
        <f t="shared" si="181"/>
        <v>40</v>
      </c>
      <c r="M449">
        <f t="shared" si="187"/>
        <v>28</v>
      </c>
      <c r="N449">
        <f t="shared" si="182"/>
        <v>40</v>
      </c>
      <c r="Q449">
        <f t="shared" si="188"/>
        <v>-540</v>
      </c>
      <c r="R449">
        <f t="shared" si="183"/>
        <v>40</v>
      </c>
      <c r="U449">
        <f t="shared" si="189"/>
        <v>-460</v>
      </c>
      <c r="V449">
        <f t="shared" si="178"/>
        <v>40</v>
      </c>
      <c r="Y449">
        <f t="shared" si="190"/>
        <v>2</v>
      </c>
      <c r="Z449">
        <f t="shared" si="179"/>
        <v>40</v>
      </c>
    </row>
    <row r="450" spans="1:26" x14ac:dyDescent="0.4">
      <c r="A450">
        <f t="shared" si="184"/>
        <v>-17.5</v>
      </c>
      <c r="B450">
        <f t="shared" ref="B450:B513" si="191">B410*10</f>
        <v>42.5</v>
      </c>
      <c r="E450">
        <f t="shared" si="185"/>
        <v>-5.5</v>
      </c>
      <c r="F450">
        <f t="shared" si="180"/>
        <v>42.5</v>
      </c>
      <c r="I450">
        <f t="shared" si="186"/>
        <v>-10.5</v>
      </c>
      <c r="J450">
        <f t="shared" si="181"/>
        <v>42.5</v>
      </c>
      <c r="M450">
        <f t="shared" si="187"/>
        <v>30.5</v>
      </c>
      <c r="N450">
        <f t="shared" si="182"/>
        <v>42.5</v>
      </c>
      <c r="Q450">
        <f t="shared" si="188"/>
        <v>-537.5</v>
      </c>
      <c r="R450">
        <f t="shared" si="183"/>
        <v>42.5</v>
      </c>
      <c r="U450">
        <f t="shared" si="189"/>
        <v>-457.5</v>
      </c>
      <c r="V450">
        <f t="shared" si="178"/>
        <v>42.5</v>
      </c>
      <c r="Y450">
        <f t="shared" si="190"/>
        <v>4.5</v>
      </c>
      <c r="Z450">
        <f t="shared" si="179"/>
        <v>42.5</v>
      </c>
    </row>
    <row r="451" spans="1:26" x14ac:dyDescent="0.4">
      <c r="A451">
        <f t="shared" si="184"/>
        <v>-15</v>
      </c>
      <c r="B451">
        <f t="shared" si="191"/>
        <v>45</v>
      </c>
      <c r="E451">
        <f t="shared" si="185"/>
        <v>-3</v>
      </c>
      <c r="F451">
        <f t="shared" si="180"/>
        <v>45</v>
      </c>
      <c r="I451">
        <f t="shared" si="186"/>
        <v>-8</v>
      </c>
      <c r="J451">
        <f t="shared" si="181"/>
        <v>45</v>
      </c>
      <c r="M451">
        <f t="shared" si="187"/>
        <v>33</v>
      </c>
      <c r="N451">
        <f t="shared" si="182"/>
        <v>45</v>
      </c>
      <c r="Q451">
        <f t="shared" si="188"/>
        <v>-535</v>
      </c>
      <c r="R451">
        <f t="shared" si="183"/>
        <v>45</v>
      </c>
      <c r="U451">
        <f t="shared" si="189"/>
        <v>-455</v>
      </c>
      <c r="V451">
        <f t="shared" si="178"/>
        <v>45</v>
      </c>
      <c r="Y451">
        <f t="shared" si="190"/>
        <v>7</v>
      </c>
      <c r="Z451">
        <f t="shared" si="179"/>
        <v>45</v>
      </c>
    </row>
    <row r="452" spans="1:26" x14ac:dyDescent="0.4">
      <c r="A452">
        <f t="shared" si="184"/>
        <v>-12.5</v>
      </c>
      <c r="B452">
        <f t="shared" si="191"/>
        <v>47.5</v>
      </c>
      <c r="E452">
        <f t="shared" si="185"/>
        <v>-0.5</v>
      </c>
      <c r="F452">
        <f t="shared" si="180"/>
        <v>47.5</v>
      </c>
      <c r="I452">
        <f t="shared" si="186"/>
        <v>-5.5</v>
      </c>
      <c r="J452">
        <f t="shared" si="181"/>
        <v>47.5</v>
      </c>
      <c r="M452">
        <f t="shared" si="187"/>
        <v>35.5</v>
      </c>
      <c r="N452">
        <f t="shared" si="182"/>
        <v>47.5</v>
      </c>
      <c r="Q452">
        <f t="shared" si="188"/>
        <v>-532.5</v>
      </c>
      <c r="R452">
        <f t="shared" si="183"/>
        <v>47.5</v>
      </c>
      <c r="U452">
        <f t="shared" si="189"/>
        <v>-452.5</v>
      </c>
      <c r="V452">
        <f t="shared" si="178"/>
        <v>47.5</v>
      </c>
      <c r="Y452">
        <f t="shared" si="190"/>
        <v>9.5</v>
      </c>
      <c r="Z452">
        <f t="shared" si="179"/>
        <v>47.5</v>
      </c>
    </row>
    <row r="453" spans="1:26" x14ac:dyDescent="0.4">
      <c r="A453">
        <f t="shared" si="184"/>
        <v>-10</v>
      </c>
      <c r="B453">
        <f t="shared" si="191"/>
        <v>50</v>
      </c>
      <c r="E453">
        <f t="shared" si="185"/>
        <v>2</v>
      </c>
      <c r="F453">
        <f t="shared" si="180"/>
        <v>50</v>
      </c>
      <c r="I453">
        <f t="shared" si="186"/>
        <v>-3</v>
      </c>
      <c r="J453">
        <f t="shared" si="181"/>
        <v>50</v>
      </c>
      <c r="M453">
        <f t="shared" si="187"/>
        <v>38</v>
      </c>
      <c r="N453">
        <f t="shared" si="182"/>
        <v>50</v>
      </c>
      <c r="Q453">
        <f t="shared" si="188"/>
        <v>-530</v>
      </c>
      <c r="R453">
        <f t="shared" si="183"/>
        <v>50</v>
      </c>
      <c r="U453">
        <f t="shared" si="189"/>
        <v>-450</v>
      </c>
      <c r="V453">
        <f t="shared" si="178"/>
        <v>50</v>
      </c>
      <c r="Y453">
        <f t="shared" si="190"/>
        <v>12</v>
      </c>
      <c r="Z453">
        <f t="shared" si="179"/>
        <v>50</v>
      </c>
    </row>
    <row r="454" spans="1:26" x14ac:dyDescent="0.4">
      <c r="A454">
        <f t="shared" si="184"/>
        <v>-6.9999999999999929</v>
      </c>
      <c r="B454">
        <f t="shared" si="191"/>
        <v>53.000000000000007</v>
      </c>
      <c r="E454">
        <f t="shared" si="185"/>
        <v>5.0000000000000071</v>
      </c>
      <c r="F454">
        <f t="shared" si="180"/>
        <v>53.000000000000007</v>
      </c>
      <c r="I454">
        <f t="shared" si="186"/>
        <v>0</v>
      </c>
      <c r="J454">
        <f t="shared" si="181"/>
        <v>53.000000000000007</v>
      </c>
      <c r="M454">
        <f t="shared" si="187"/>
        <v>41.000000000000007</v>
      </c>
      <c r="N454">
        <f t="shared" si="182"/>
        <v>53.000000000000007</v>
      </c>
      <c r="Q454">
        <f t="shared" si="188"/>
        <v>-527</v>
      </c>
      <c r="R454">
        <f t="shared" si="183"/>
        <v>53.000000000000007</v>
      </c>
      <c r="U454">
        <f t="shared" si="189"/>
        <v>-447</v>
      </c>
      <c r="V454">
        <f t="shared" si="178"/>
        <v>53.000000000000007</v>
      </c>
      <c r="Y454">
        <f t="shared" si="190"/>
        <v>15.000000000000007</v>
      </c>
      <c r="Z454">
        <f t="shared" si="179"/>
        <v>53.000000000000007</v>
      </c>
    </row>
    <row r="455" spans="1:26" x14ac:dyDescent="0.4">
      <c r="A455">
        <f t="shared" si="184"/>
        <v>-4</v>
      </c>
      <c r="B455">
        <f t="shared" si="191"/>
        <v>56</v>
      </c>
      <c r="E455">
        <f t="shared" si="185"/>
        <v>8</v>
      </c>
      <c r="F455">
        <f t="shared" si="180"/>
        <v>56</v>
      </c>
      <c r="I455">
        <f t="shared" si="186"/>
        <v>3</v>
      </c>
      <c r="J455">
        <f t="shared" si="181"/>
        <v>56</v>
      </c>
      <c r="M455">
        <f t="shared" si="187"/>
        <v>44</v>
      </c>
      <c r="N455">
        <f t="shared" si="182"/>
        <v>56</v>
      </c>
      <c r="Q455">
        <f t="shared" si="188"/>
        <v>-524</v>
      </c>
      <c r="R455">
        <f t="shared" si="183"/>
        <v>56</v>
      </c>
      <c r="U455">
        <f t="shared" si="189"/>
        <v>-444</v>
      </c>
      <c r="V455">
        <f t="shared" si="178"/>
        <v>56</v>
      </c>
      <c r="Y455">
        <f t="shared" si="190"/>
        <v>18</v>
      </c>
      <c r="Z455">
        <f t="shared" si="179"/>
        <v>56</v>
      </c>
    </row>
    <row r="456" spans="1:26" x14ac:dyDescent="0.4">
      <c r="A456">
        <f t="shared" si="184"/>
        <v>0</v>
      </c>
      <c r="B456">
        <f t="shared" si="191"/>
        <v>60</v>
      </c>
      <c r="E456">
        <f t="shared" si="185"/>
        <v>12</v>
      </c>
      <c r="F456">
        <f t="shared" si="180"/>
        <v>60</v>
      </c>
      <c r="I456">
        <f t="shared" si="186"/>
        <v>7</v>
      </c>
      <c r="J456">
        <f t="shared" si="181"/>
        <v>60</v>
      </c>
      <c r="M456">
        <f t="shared" si="187"/>
        <v>48</v>
      </c>
      <c r="N456">
        <f t="shared" si="182"/>
        <v>60</v>
      </c>
      <c r="Q456">
        <f t="shared" si="188"/>
        <v>-520</v>
      </c>
      <c r="R456">
        <f t="shared" si="183"/>
        <v>60</v>
      </c>
      <c r="U456">
        <f t="shared" si="189"/>
        <v>-440</v>
      </c>
      <c r="V456">
        <f t="shared" si="178"/>
        <v>60</v>
      </c>
      <c r="Y456">
        <f t="shared" si="190"/>
        <v>22</v>
      </c>
      <c r="Z456">
        <f t="shared" si="179"/>
        <v>60</v>
      </c>
    </row>
    <row r="457" spans="1:26" x14ac:dyDescent="0.4">
      <c r="A457">
        <f t="shared" si="184"/>
        <v>3</v>
      </c>
      <c r="B457">
        <f t="shared" si="191"/>
        <v>63</v>
      </c>
      <c r="E457">
        <f t="shared" si="185"/>
        <v>15</v>
      </c>
      <c r="F457">
        <f t="shared" si="180"/>
        <v>63</v>
      </c>
      <c r="I457">
        <f t="shared" si="186"/>
        <v>10</v>
      </c>
      <c r="J457">
        <f t="shared" si="181"/>
        <v>63</v>
      </c>
      <c r="M457">
        <f t="shared" si="187"/>
        <v>51</v>
      </c>
      <c r="N457">
        <f t="shared" si="182"/>
        <v>63</v>
      </c>
      <c r="Q457">
        <f t="shared" si="188"/>
        <v>-517</v>
      </c>
      <c r="R457">
        <f t="shared" si="183"/>
        <v>63</v>
      </c>
      <c r="U457">
        <f t="shared" si="189"/>
        <v>-437</v>
      </c>
      <c r="V457">
        <f t="shared" si="178"/>
        <v>63</v>
      </c>
      <c r="Y457">
        <f t="shared" si="190"/>
        <v>25</v>
      </c>
      <c r="Z457">
        <f t="shared" si="179"/>
        <v>63</v>
      </c>
    </row>
    <row r="458" spans="1:26" x14ac:dyDescent="0.4">
      <c r="A458">
        <f t="shared" si="184"/>
        <v>7</v>
      </c>
      <c r="B458">
        <f t="shared" si="191"/>
        <v>67</v>
      </c>
      <c r="E458">
        <f t="shared" si="185"/>
        <v>19</v>
      </c>
      <c r="F458">
        <f t="shared" si="180"/>
        <v>67</v>
      </c>
      <c r="I458">
        <f t="shared" si="186"/>
        <v>14</v>
      </c>
      <c r="J458">
        <f t="shared" si="181"/>
        <v>67</v>
      </c>
      <c r="M458">
        <f t="shared" si="187"/>
        <v>55</v>
      </c>
      <c r="N458">
        <f t="shared" si="182"/>
        <v>67</v>
      </c>
      <c r="Q458">
        <f t="shared" si="188"/>
        <v>-513</v>
      </c>
      <c r="R458">
        <f t="shared" si="183"/>
        <v>67</v>
      </c>
      <c r="U458">
        <f t="shared" si="189"/>
        <v>-433</v>
      </c>
      <c r="V458">
        <f t="shared" si="178"/>
        <v>67</v>
      </c>
      <c r="Y458">
        <f t="shared" si="190"/>
        <v>29</v>
      </c>
      <c r="Z458">
        <f t="shared" si="179"/>
        <v>67</v>
      </c>
    </row>
    <row r="459" spans="1:26" x14ac:dyDescent="0.4">
      <c r="A459">
        <f t="shared" si="184"/>
        <v>11</v>
      </c>
      <c r="B459">
        <f t="shared" si="191"/>
        <v>71</v>
      </c>
      <c r="E459">
        <f t="shared" si="185"/>
        <v>23</v>
      </c>
      <c r="F459">
        <f t="shared" si="180"/>
        <v>71</v>
      </c>
      <c r="I459">
        <f t="shared" si="186"/>
        <v>18</v>
      </c>
      <c r="J459">
        <f t="shared" si="181"/>
        <v>71</v>
      </c>
      <c r="M459">
        <f t="shared" si="187"/>
        <v>59</v>
      </c>
      <c r="N459">
        <f t="shared" si="182"/>
        <v>71</v>
      </c>
      <c r="Q459">
        <f t="shared" si="188"/>
        <v>-509</v>
      </c>
      <c r="R459">
        <f t="shared" si="183"/>
        <v>71</v>
      </c>
      <c r="U459">
        <f t="shared" si="189"/>
        <v>-429</v>
      </c>
      <c r="V459">
        <f t="shared" si="178"/>
        <v>71</v>
      </c>
      <c r="Y459">
        <f t="shared" si="190"/>
        <v>33</v>
      </c>
      <c r="Z459">
        <f t="shared" si="179"/>
        <v>71</v>
      </c>
    </row>
    <row r="460" spans="1:26" x14ac:dyDescent="0.4">
      <c r="A460">
        <f t="shared" si="184"/>
        <v>15</v>
      </c>
      <c r="B460">
        <f t="shared" si="191"/>
        <v>75</v>
      </c>
      <c r="E460">
        <f t="shared" si="185"/>
        <v>27</v>
      </c>
      <c r="F460">
        <f t="shared" si="180"/>
        <v>75</v>
      </c>
      <c r="I460">
        <f t="shared" si="186"/>
        <v>22</v>
      </c>
      <c r="J460">
        <f t="shared" si="181"/>
        <v>75</v>
      </c>
      <c r="M460">
        <f t="shared" si="187"/>
        <v>63</v>
      </c>
      <c r="N460">
        <f t="shared" si="182"/>
        <v>75</v>
      </c>
      <c r="Q460">
        <f t="shared" si="188"/>
        <v>-505</v>
      </c>
      <c r="R460">
        <f t="shared" si="183"/>
        <v>75</v>
      </c>
      <c r="U460">
        <f t="shared" si="189"/>
        <v>-425</v>
      </c>
      <c r="V460">
        <f t="shared" si="178"/>
        <v>75</v>
      </c>
      <c r="Y460">
        <f t="shared" si="190"/>
        <v>37</v>
      </c>
      <c r="Z460">
        <f t="shared" si="179"/>
        <v>75</v>
      </c>
    </row>
    <row r="461" spans="1:26" x14ac:dyDescent="0.4">
      <c r="A461">
        <f t="shared" si="184"/>
        <v>20</v>
      </c>
      <c r="B461">
        <f t="shared" si="191"/>
        <v>80</v>
      </c>
      <c r="E461">
        <f t="shared" si="185"/>
        <v>32</v>
      </c>
      <c r="F461">
        <f t="shared" si="180"/>
        <v>80</v>
      </c>
      <c r="I461">
        <f t="shared" si="186"/>
        <v>27</v>
      </c>
      <c r="J461">
        <f t="shared" si="181"/>
        <v>80</v>
      </c>
      <c r="M461">
        <f t="shared" si="187"/>
        <v>68</v>
      </c>
      <c r="N461">
        <f t="shared" si="182"/>
        <v>80</v>
      </c>
      <c r="Q461">
        <f t="shared" si="188"/>
        <v>-500</v>
      </c>
      <c r="R461">
        <f t="shared" si="183"/>
        <v>80</v>
      </c>
      <c r="U461">
        <f t="shared" si="189"/>
        <v>-420</v>
      </c>
      <c r="V461">
        <f t="shared" si="178"/>
        <v>80</v>
      </c>
      <c r="Y461">
        <f t="shared" si="190"/>
        <v>42</v>
      </c>
      <c r="Z461">
        <f t="shared" si="179"/>
        <v>80</v>
      </c>
    </row>
    <row r="462" spans="1:26" x14ac:dyDescent="0.4">
      <c r="A462">
        <f t="shared" si="184"/>
        <v>25</v>
      </c>
      <c r="B462">
        <f t="shared" si="191"/>
        <v>85</v>
      </c>
      <c r="E462">
        <f t="shared" si="185"/>
        <v>37</v>
      </c>
      <c r="F462">
        <f t="shared" si="180"/>
        <v>85</v>
      </c>
      <c r="I462">
        <f t="shared" si="186"/>
        <v>32</v>
      </c>
      <c r="J462">
        <f t="shared" si="181"/>
        <v>85</v>
      </c>
      <c r="M462">
        <f t="shared" si="187"/>
        <v>73</v>
      </c>
      <c r="N462">
        <f t="shared" si="182"/>
        <v>85</v>
      </c>
      <c r="Q462">
        <f t="shared" si="188"/>
        <v>-495</v>
      </c>
      <c r="R462">
        <f t="shared" si="183"/>
        <v>85</v>
      </c>
      <c r="U462">
        <f t="shared" si="189"/>
        <v>-415</v>
      </c>
      <c r="V462">
        <f t="shared" si="178"/>
        <v>85</v>
      </c>
      <c r="Y462">
        <f t="shared" si="190"/>
        <v>47</v>
      </c>
      <c r="Z462">
        <f t="shared" si="179"/>
        <v>85</v>
      </c>
    </row>
    <row r="463" spans="1:26" x14ac:dyDescent="0.4">
      <c r="A463">
        <f t="shared" si="184"/>
        <v>30</v>
      </c>
      <c r="B463">
        <f t="shared" si="191"/>
        <v>90</v>
      </c>
      <c r="E463">
        <f t="shared" si="185"/>
        <v>42</v>
      </c>
      <c r="F463">
        <f t="shared" si="180"/>
        <v>90</v>
      </c>
      <c r="I463">
        <f t="shared" si="186"/>
        <v>37</v>
      </c>
      <c r="J463">
        <f t="shared" si="181"/>
        <v>90</v>
      </c>
      <c r="M463">
        <f t="shared" si="187"/>
        <v>78</v>
      </c>
      <c r="N463">
        <f t="shared" si="182"/>
        <v>90</v>
      </c>
      <c r="Q463">
        <f t="shared" si="188"/>
        <v>-490</v>
      </c>
      <c r="R463">
        <f t="shared" si="183"/>
        <v>90</v>
      </c>
      <c r="U463">
        <f t="shared" si="189"/>
        <v>-410</v>
      </c>
      <c r="V463">
        <f t="shared" si="178"/>
        <v>90</v>
      </c>
      <c r="Y463">
        <f t="shared" si="190"/>
        <v>52</v>
      </c>
      <c r="Z463">
        <f t="shared" si="179"/>
        <v>90</v>
      </c>
    </row>
    <row r="464" spans="1:26" x14ac:dyDescent="0.4">
      <c r="A464">
        <f t="shared" si="184"/>
        <v>35</v>
      </c>
      <c r="B464">
        <f t="shared" si="191"/>
        <v>95</v>
      </c>
      <c r="E464">
        <f t="shared" si="185"/>
        <v>47</v>
      </c>
      <c r="F464">
        <f t="shared" si="180"/>
        <v>95</v>
      </c>
      <c r="I464">
        <f t="shared" si="186"/>
        <v>42</v>
      </c>
      <c r="J464">
        <f t="shared" si="181"/>
        <v>95</v>
      </c>
      <c r="M464">
        <f t="shared" si="187"/>
        <v>83</v>
      </c>
      <c r="N464">
        <f t="shared" si="182"/>
        <v>95</v>
      </c>
      <c r="Q464">
        <f t="shared" si="188"/>
        <v>-485</v>
      </c>
      <c r="R464">
        <f t="shared" si="183"/>
        <v>95</v>
      </c>
      <c r="U464">
        <f t="shared" si="189"/>
        <v>-405</v>
      </c>
      <c r="V464">
        <f t="shared" si="178"/>
        <v>95</v>
      </c>
      <c r="Y464">
        <f t="shared" si="190"/>
        <v>57</v>
      </c>
      <c r="Z464">
        <f t="shared" si="179"/>
        <v>95</v>
      </c>
    </row>
    <row r="465" spans="1:26" x14ac:dyDescent="0.4">
      <c r="A465">
        <f t="shared" si="184"/>
        <v>40</v>
      </c>
      <c r="B465">
        <f t="shared" si="191"/>
        <v>100</v>
      </c>
      <c r="E465">
        <f t="shared" si="185"/>
        <v>52</v>
      </c>
      <c r="F465">
        <f t="shared" si="180"/>
        <v>100</v>
      </c>
      <c r="I465">
        <f t="shared" si="186"/>
        <v>47</v>
      </c>
      <c r="J465">
        <f t="shared" si="181"/>
        <v>100</v>
      </c>
      <c r="M465">
        <f t="shared" si="187"/>
        <v>88</v>
      </c>
      <c r="N465">
        <f t="shared" si="182"/>
        <v>100</v>
      </c>
      <c r="Q465">
        <f t="shared" si="188"/>
        <v>-480</v>
      </c>
      <c r="R465">
        <f t="shared" si="183"/>
        <v>100</v>
      </c>
      <c r="U465">
        <f t="shared" si="189"/>
        <v>-400</v>
      </c>
      <c r="V465">
        <f t="shared" si="178"/>
        <v>100</v>
      </c>
      <c r="Y465">
        <f t="shared" si="190"/>
        <v>62</v>
      </c>
      <c r="Z465">
        <f t="shared" si="179"/>
        <v>100</v>
      </c>
    </row>
    <row r="466" spans="1:26" x14ac:dyDescent="0.4">
      <c r="A466">
        <f t="shared" si="184"/>
        <v>46.000000000000014</v>
      </c>
      <c r="B466">
        <f t="shared" si="191"/>
        <v>106.00000000000001</v>
      </c>
      <c r="E466">
        <f t="shared" si="185"/>
        <v>58.000000000000014</v>
      </c>
      <c r="F466">
        <f t="shared" si="180"/>
        <v>106.00000000000001</v>
      </c>
      <c r="I466">
        <f t="shared" si="186"/>
        <v>53.000000000000014</v>
      </c>
      <c r="J466">
        <f t="shared" si="181"/>
        <v>106.00000000000001</v>
      </c>
      <c r="M466">
        <f t="shared" si="187"/>
        <v>94.000000000000014</v>
      </c>
      <c r="N466">
        <f t="shared" si="182"/>
        <v>106.00000000000001</v>
      </c>
      <c r="Q466">
        <f t="shared" si="188"/>
        <v>-474</v>
      </c>
      <c r="R466">
        <f t="shared" si="183"/>
        <v>106.00000000000001</v>
      </c>
      <c r="U466">
        <f t="shared" si="189"/>
        <v>-394</v>
      </c>
      <c r="V466">
        <f t="shared" si="178"/>
        <v>106.00000000000001</v>
      </c>
      <c r="Y466">
        <f t="shared" si="190"/>
        <v>68.000000000000014</v>
      </c>
      <c r="Z466">
        <f t="shared" si="179"/>
        <v>106.00000000000001</v>
      </c>
    </row>
    <row r="467" spans="1:26" x14ac:dyDescent="0.4">
      <c r="A467">
        <f t="shared" si="184"/>
        <v>52.000000000000014</v>
      </c>
      <c r="B467">
        <f t="shared" si="191"/>
        <v>112.00000000000001</v>
      </c>
      <c r="E467">
        <f t="shared" si="185"/>
        <v>64.000000000000014</v>
      </c>
      <c r="F467">
        <f t="shared" si="180"/>
        <v>112.00000000000001</v>
      </c>
      <c r="I467">
        <f t="shared" si="186"/>
        <v>59.000000000000014</v>
      </c>
      <c r="J467">
        <f t="shared" si="181"/>
        <v>112.00000000000001</v>
      </c>
      <c r="M467">
        <f t="shared" si="187"/>
        <v>100.00000000000001</v>
      </c>
      <c r="N467">
        <f t="shared" si="182"/>
        <v>112.00000000000001</v>
      </c>
      <c r="Q467">
        <f t="shared" si="188"/>
        <v>-468</v>
      </c>
      <c r="R467">
        <f t="shared" si="183"/>
        <v>112.00000000000001</v>
      </c>
      <c r="U467">
        <f t="shared" si="189"/>
        <v>-388</v>
      </c>
      <c r="V467">
        <f t="shared" si="178"/>
        <v>112.00000000000001</v>
      </c>
      <c r="Y467">
        <f t="shared" si="190"/>
        <v>74.000000000000014</v>
      </c>
      <c r="Z467">
        <f t="shared" si="179"/>
        <v>112.00000000000001</v>
      </c>
    </row>
    <row r="468" spans="1:26" x14ac:dyDescent="0.4">
      <c r="A468">
        <f t="shared" si="184"/>
        <v>57.999999999999986</v>
      </c>
      <c r="B468">
        <f t="shared" si="191"/>
        <v>117.99999999999999</v>
      </c>
      <c r="E468">
        <f t="shared" si="185"/>
        <v>69.999999999999986</v>
      </c>
      <c r="F468">
        <f t="shared" si="180"/>
        <v>117.99999999999999</v>
      </c>
      <c r="I468">
        <f t="shared" si="186"/>
        <v>64.999999999999986</v>
      </c>
      <c r="J468">
        <f t="shared" si="181"/>
        <v>117.99999999999999</v>
      </c>
      <c r="M468">
        <f t="shared" si="187"/>
        <v>105.99999999999999</v>
      </c>
      <c r="N468">
        <f t="shared" si="182"/>
        <v>117.99999999999999</v>
      </c>
      <c r="Q468">
        <f t="shared" si="188"/>
        <v>-462</v>
      </c>
      <c r="R468">
        <f t="shared" si="183"/>
        <v>117.99999999999999</v>
      </c>
      <c r="U468">
        <f t="shared" si="189"/>
        <v>-382</v>
      </c>
      <c r="V468">
        <f t="shared" si="178"/>
        <v>117.99999999999999</v>
      </c>
      <c r="Y468">
        <f t="shared" si="190"/>
        <v>79.999999999999986</v>
      </c>
      <c r="Z468">
        <f t="shared" si="179"/>
        <v>117.99999999999999</v>
      </c>
    </row>
    <row r="469" spans="1:26" x14ac:dyDescent="0.4">
      <c r="A469">
        <f t="shared" si="184"/>
        <v>65</v>
      </c>
      <c r="B469">
        <f t="shared" si="191"/>
        <v>125</v>
      </c>
      <c r="E469">
        <f t="shared" si="185"/>
        <v>77</v>
      </c>
      <c r="F469">
        <f t="shared" si="180"/>
        <v>125</v>
      </c>
      <c r="I469">
        <f t="shared" si="186"/>
        <v>72</v>
      </c>
      <c r="J469">
        <f t="shared" si="181"/>
        <v>125</v>
      </c>
      <c r="M469">
        <f t="shared" si="187"/>
        <v>113</v>
      </c>
      <c r="N469">
        <f t="shared" si="182"/>
        <v>125</v>
      </c>
      <c r="Q469">
        <f t="shared" si="188"/>
        <v>-455</v>
      </c>
      <c r="R469">
        <f t="shared" si="183"/>
        <v>125</v>
      </c>
      <c r="U469">
        <f t="shared" si="189"/>
        <v>-375</v>
      </c>
      <c r="V469">
        <f t="shared" si="178"/>
        <v>125</v>
      </c>
      <c r="Y469">
        <f t="shared" si="190"/>
        <v>87</v>
      </c>
      <c r="Z469">
        <f t="shared" si="179"/>
        <v>125</v>
      </c>
    </row>
    <row r="470" spans="1:26" x14ac:dyDescent="0.4">
      <c r="A470">
        <f t="shared" si="184"/>
        <v>72</v>
      </c>
      <c r="B470">
        <f t="shared" si="191"/>
        <v>132</v>
      </c>
      <c r="E470">
        <f t="shared" si="185"/>
        <v>84</v>
      </c>
      <c r="F470">
        <f t="shared" si="180"/>
        <v>132</v>
      </c>
      <c r="I470">
        <f t="shared" si="186"/>
        <v>79</v>
      </c>
      <c r="J470">
        <f t="shared" si="181"/>
        <v>132</v>
      </c>
      <c r="M470">
        <f t="shared" si="187"/>
        <v>120</v>
      </c>
      <c r="N470">
        <f t="shared" si="182"/>
        <v>132</v>
      </c>
      <c r="Q470">
        <f t="shared" si="188"/>
        <v>-448</v>
      </c>
      <c r="R470">
        <f t="shared" si="183"/>
        <v>132</v>
      </c>
      <c r="U470">
        <f t="shared" si="189"/>
        <v>-368</v>
      </c>
      <c r="V470">
        <f t="shared" si="178"/>
        <v>132</v>
      </c>
      <c r="Y470">
        <f t="shared" si="190"/>
        <v>94</v>
      </c>
      <c r="Z470">
        <f t="shared" si="179"/>
        <v>132</v>
      </c>
    </row>
    <row r="471" spans="1:26" x14ac:dyDescent="0.4">
      <c r="A471">
        <f t="shared" si="184"/>
        <v>80</v>
      </c>
      <c r="B471">
        <f t="shared" si="191"/>
        <v>140</v>
      </c>
      <c r="E471">
        <f t="shared" si="185"/>
        <v>92</v>
      </c>
      <c r="F471">
        <f t="shared" si="180"/>
        <v>140</v>
      </c>
      <c r="I471">
        <f t="shared" si="186"/>
        <v>87</v>
      </c>
      <c r="J471">
        <f t="shared" si="181"/>
        <v>140</v>
      </c>
      <c r="M471">
        <f t="shared" si="187"/>
        <v>128</v>
      </c>
      <c r="N471">
        <f t="shared" si="182"/>
        <v>140</v>
      </c>
      <c r="Q471">
        <f t="shared" si="188"/>
        <v>-440</v>
      </c>
      <c r="R471">
        <f t="shared" si="183"/>
        <v>140</v>
      </c>
      <c r="U471">
        <f t="shared" si="189"/>
        <v>-360</v>
      </c>
      <c r="V471">
        <f t="shared" si="178"/>
        <v>140</v>
      </c>
      <c r="Y471">
        <f t="shared" si="190"/>
        <v>102</v>
      </c>
      <c r="Z471">
        <f t="shared" si="179"/>
        <v>140</v>
      </c>
    </row>
    <row r="472" spans="1:26" x14ac:dyDescent="0.4">
      <c r="A472">
        <f t="shared" si="184"/>
        <v>90</v>
      </c>
      <c r="B472">
        <f t="shared" si="191"/>
        <v>150</v>
      </c>
      <c r="E472">
        <f t="shared" si="185"/>
        <v>102</v>
      </c>
      <c r="F472">
        <f t="shared" si="180"/>
        <v>150</v>
      </c>
      <c r="I472">
        <f t="shared" si="186"/>
        <v>97</v>
      </c>
      <c r="J472">
        <f t="shared" si="181"/>
        <v>150</v>
      </c>
      <c r="M472">
        <f t="shared" si="187"/>
        <v>138</v>
      </c>
      <c r="N472">
        <f t="shared" si="182"/>
        <v>150</v>
      </c>
      <c r="Q472">
        <f t="shared" si="188"/>
        <v>-430</v>
      </c>
      <c r="R472">
        <f t="shared" si="183"/>
        <v>150</v>
      </c>
      <c r="U472">
        <f t="shared" si="189"/>
        <v>-350</v>
      </c>
      <c r="V472">
        <f t="shared" ref="V472:V535" si="192">R472</f>
        <v>150</v>
      </c>
      <c r="Y472">
        <f t="shared" si="190"/>
        <v>112</v>
      </c>
      <c r="Z472">
        <f t="shared" ref="Z472:Z535" si="193">V472</f>
        <v>150</v>
      </c>
    </row>
    <row r="473" spans="1:26" x14ac:dyDescent="0.4">
      <c r="A473">
        <f t="shared" si="184"/>
        <v>100</v>
      </c>
      <c r="B473">
        <f t="shared" si="191"/>
        <v>160</v>
      </c>
      <c r="E473">
        <f t="shared" si="185"/>
        <v>112</v>
      </c>
      <c r="F473">
        <f t="shared" ref="F473:F536" si="194">B473</f>
        <v>160</v>
      </c>
      <c r="I473">
        <f t="shared" si="186"/>
        <v>107</v>
      </c>
      <c r="J473">
        <f t="shared" ref="J473:J536" si="195">F473</f>
        <v>160</v>
      </c>
      <c r="M473">
        <f t="shared" si="187"/>
        <v>148</v>
      </c>
      <c r="N473">
        <f t="shared" ref="N473:N536" si="196">J473</f>
        <v>160</v>
      </c>
      <c r="Q473">
        <f t="shared" si="188"/>
        <v>-420</v>
      </c>
      <c r="R473">
        <f t="shared" ref="R473:R536" si="197">N473</f>
        <v>160</v>
      </c>
      <c r="U473">
        <f t="shared" si="189"/>
        <v>-340</v>
      </c>
      <c r="V473">
        <f t="shared" si="192"/>
        <v>160</v>
      </c>
      <c r="Y473">
        <f t="shared" si="190"/>
        <v>122</v>
      </c>
      <c r="Z473">
        <f t="shared" si="193"/>
        <v>160</v>
      </c>
    </row>
    <row r="474" spans="1:26" x14ac:dyDescent="0.4">
      <c r="A474">
        <f t="shared" ref="A474:A537" si="198">B474-$A$343</f>
        <v>109.99999999999997</v>
      </c>
      <c r="B474">
        <f t="shared" si="191"/>
        <v>169.99999999999997</v>
      </c>
      <c r="E474">
        <f t="shared" ref="E474:E537" si="199">F474-$E$343</f>
        <v>121.99999999999997</v>
      </c>
      <c r="F474">
        <f t="shared" si="194"/>
        <v>169.99999999999997</v>
      </c>
      <c r="I474">
        <f t="shared" ref="I474:I537" si="200">J474-$I$343</f>
        <v>116.99999999999997</v>
      </c>
      <c r="J474">
        <f t="shared" si="195"/>
        <v>169.99999999999997</v>
      </c>
      <c r="M474">
        <f t="shared" ref="M474:M537" si="201">N474-$M$343</f>
        <v>157.99999999999997</v>
      </c>
      <c r="N474">
        <f t="shared" si="196"/>
        <v>169.99999999999997</v>
      </c>
      <c r="Q474">
        <f t="shared" ref="Q474:Q537" si="202">R474-$Q$343</f>
        <v>-410</v>
      </c>
      <c r="R474">
        <f t="shared" si="197"/>
        <v>169.99999999999997</v>
      </c>
      <c r="U474">
        <f t="shared" ref="U474:U537" si="203">V474-$U$343</f>
        <v>-330</v>
      </c>
      <c r="V474">
        <f t="shared" si="192"/>
        <v>169.99999999999997</v>
      </c>
      <c r="Y474">
        <f t="shared" ref="Y474:Y537" si="204">Z474-$Y$343</f>
        <v>131.99999999999997</v>
      </c>
      <c r="Z474">
        <f t="shared" si="193"/>
        <v>169.99999999999997</v>
      </c>
    </row>
    <row r="475" spans="1:26" x14ac:dyDescent="0.4">
      <c r="A475">
        <f t="shared" si="198"/>
        <v>120</v>
      </c>
      <c r="B475">
        <f t="shared" si="191"/>
        <v>180</v>
      </c>
      <c r="E475">
        <f t="shared" si="199"/>
        <v>132</v>
      </c>
      <c r="F475">
        <f t="shared" si="194"/>
        <v>180</v>
      </c>
      <c r="I475">
        <f t="shared" si="200"/>
        <v>127</v>
      </c>
      <c r="J475">
        <f t="shared" si="195"/>
        <v>180</v>
      </c>
      <c r="M475">
        <f t="shared" si="201"/>
        <v>168</v>
      </c>
      <c r="N475">
        <f t="shared" si="196"/>
        <v>180</v>
      </c>
      <c r="Q475">
        <f t="shared" si="202"/>
        <v>-400</v>
      </c>
      <c r="R475">
        <f t="shared" si="197"/>
        <v>180</v>
      </c>
      <c r="U475">
        <f t="shared" si="203"/>
        <v>-320</v>
      </c>
      <c r="V475">
        <f t="shared" si="192"/>
        <v>180</v>
      </c>
      <c r="Y475">
        <f t="shared" si="204"/>
        <v>142</v>
      </c>
      <c r="Z475">
        <f t="shared" si="193"/>
        <v>180</v>
      </c>
    </row>
    <row r="476" spans="1:26" x14ac:dyDescent="0.4">
      <c r="A476">
        <f t="shared" si="198"/>
        <v>130</v>
      </c>
      <c r="B476">
        <f t="shared" si="191"/>
        <v>190</v>
      </c>
      <c r="E476">
        <f t="shared" si="199"/>
        <v>142</v>
      </c>
      <c r="F476">
        <f t="shared" si="194"/>
        <v>190</v>
      </c>
      <c r="I476">
        <f t="shared" si="200"/>
        <v>137</v>
      </c>
      <c r="J476">
        <f t="shared" si="195"/>
        <v>190</v>
      </c>
      <c r="M476">
        <f t="shared" si="201"/>
        <v>178</v>
      </c>
      <c r="N476">
        <f t="shared" si="196"/>
        <v>190</v>
      </c>
      <c r="Q476">
        <f t="shared" si="202"/>
        <v>-390</v>
      </c>
      <c r="R476">
        <f t="shared" si="197"/>
        <v>190</v>
      </c>
      <c r="U476">
        <f t="shared" si="203"/>
        <v>-310</v>
      </c>
      <c r="V476">
        <f t="shared" si="192"/>
        <v>190</v>
      </c>
      <c r="Y476">
        <f t="shared" si="204"/>
        <v>152</v>
      </c>
      <c r="Z476">
        <f t="shared" si="193"/>
        <v>190</v>
      </c>
    </row>
    <row r="477" spans="1:26" x14ac:dyDescent="0.4">
      <c r="A477">
        <f t="shared" si="198"/>
        <v>140</v>
      </c>
      <c r="B477">
        <f t="shared" si="191"/>
        <v>200</v>
      </c>
      <c r="E477">
        <f t="shared" si="199"/>
        <v>152</v>
      </c>
      <c r="F477">
        <f t="shared" si="194"/>
        <v>200</v>
      </c>
      <c r="I477">
        <f t="shared" si="200"/>
        <v>147</v>
      </c>
      <c r="J477">
        <f t="shared" si="195"/>
        <v>200</v>
      </c>
      <c r="M477">
        <f t="shared" si="201"/>
        <v>188</v>
      </c>
      <c r="N477">
        <f t="shared" si="196"/>
        <v>200</v>
      </c>
      <c r="Q477">
        <f t="shared" si="202"/>
        <v>-380</v>
      </c>
      <c r="R477">
        <f t="shared" si="197"/>
        <v>200</v>
      </c>
      <c r="U477">
        <f t="shared" si="203"/>
        <v>-300</v>
      </c>
      <c r="V477">
        <f t="shared" si="192"/>
        <v>200</v>
      </c>
      <c r="Y477">
        <f t="shared" si="204"/>
        <v>162</v>
      </c>
      <c r="Z477">
        <f t="shared" si="193"/>
        <v>200</v>
      </c>
    </row>
    <row r="478" spans="1:26" x14ac:dyDescent="0.4">
      <c r="A478">
        <f t="shared" si="198"/>
        <v>152.00000000000003</v>
      </c>
      <c r="B478">
        <f t="shared" si="191"/>
        <v>212.00000000000003</v>
      </c>
      <c r="E478">
        <f t="shared" si="199"/>
        <v>164.00000000000003</v>
      </c>
      <c r="F478">
        <f t="shared" si="194"/>
        <v>212.00000000000003</v>
      </c>
      <c r="I478">
        <f t="shared" si="200"/>
        <v>159.00000000000003</v>
      </c>
      <c r="J478">
        <f t="shared" si="195"/>
        <v>212.00000000000003</v>
      </c>
      <c r="M478">
        <f t="shared" si="201"/>
        <v>200.00000000000003</v>
      </c>
      <c r="N478">
        <f t="shared" si="196"/>
        <v>212.00000000000003</v>
      </c>
      <c r="Q478">
        <f t="shared" si="202"/>
        <v>-368</v>
      </c>
      <c r="R478">
        <f t="shared" si="197"/>
        <v>212.00000000000003</v>
      </c>
      <c r="U478">
        <f t="shared" si="203"/>
        <v>-288</v>
      </c>
      <c r="V478">
        <f t="shared" si="192"/>
        <v>212.00000000000003</v>
      </c>
      <c r="Y478">
        <f t="shared" si="204"/>
        <v>174.00000000000003</v>
      </c>
      <c r="Z478">
        <f t="shared" si="193"/>
        <v>212.00000000000003</v>
      </c>
    </row>
    <row r="479" spans="1:26" x14ac:dyDescent="0.4">
      <c r="A479">
        <f t="shared" si="198"/>
        <v>164.00000000000003</v>
      </c>
      <c r="B479">
        <f t="shared" si="191"/>
        <v>224.00000000000003</v>
      </c>
      <c r="E479">
        <f t="shared" si="199"/>
        <v>176.00000000000003</v>
      </c>
      <c r="F479">
        <f t="shared" si="194"/>
        <v>224.00000000000003</v>
      </c>
      <c r="I479">
        <f t="shared" si="200"/>
        <v>171.00000000000003</v>
      </c>
      <c r="J479">
        <f t="shared" si="195"/>
        <v>224.00000000000003</v>
      </c>
      <c r="M479">
        <f t="shared" si="201"/>
        <v>212.00000000000003</v>
      </c>
      <c r="N479">
        <f t="shared" si="196"/>
        <v>224.00000000000003</v>
      </c>
      <c r="Q479">
        <f t="shared" si="202"/>
        <v>-356</v>
      </c>
      <c r="R479">
        <f t="shared" si="197"/>
        <v>224.00000000000003</v>
      </c>
      <c r="U479">
        <f t="shared" si="203"/>
        <v>-276</v>
      </c>
      <c r="V479">
        <f t="shared" si="192"/>
        <v>224.00000000000003</v>
      </c>
      <c r="Y479">
        <f t="shared" si="204"/>
        <v>186.00000000000003</v>
      </c>
      <c r="Z479">
        <f t="shared" si="193"/>
        <v>224.00000000000003</v>
      </c>
    </row>
    <row r="480" spans="1:26" x14ac:dyDescent="0.4">
      <c r="A480">
        <f t="shared" si="198"/>
        <v>175.99999999999997</v>
      </c>
      <c r="B480">
        <f t="shared" si="191"/>
        <v>235.99999999999997</v>
      </c>
      <c r="E480">
        <f t="shared" si="199"/>
        <v>187.99999999999997</v>
      </c>
      <c r="F480">
        <f t="shared" si="194"/>
        <v>235.99999999999997</v>
      </c>
      <c r="I480">
        <f t="shared" si="200"/>
        <v>182.99999999999997</v>
      </c>
      <c r="J480">
        <f t="shared" si="195"/>
        <v>235.99999999999997</v>
      </c>
      <c r="M480">
        <f t="shared" si="201"/>
        <v>223.99999999999997</v>
      </c>
      <c r="N480">
        <f t="shared" si="196"/>
        <v>235.99999999999997</v>
      </c>
      <c r="Q480">
        <f t="shared" si="202"/>
        <v>-344</v>
      </c>
      <c r="R480">
        <f t="shared" si="197"/>
        <v>235.99999999999997</v>
      </c>
      <c r="U480">
        <f t="shared" si="203"/>
        <v>-264</v>
      </c>
      <c r="V480">
        <f t="shared" si="192"/>
        <v>235.99999999999997</v>
      </c>
      <c r="Y480">
        <f t="shared" si="204"/>
        <v>197.99999999999997</v>
      </c>
      <c r="Z480">
        <f t="shared" si="193"/>
        <v>235.99999999999997</v>
      </c>
    </row>
    <row r="481" spans="1:26" x14ac:dyDescent="0.4">
      <c r="A481">
        <f t="shared" si="198"/>
        <v>190</v>
      </c>
      <c r="B481">
        <f t="shared" si="191"/>
        <v>250</v>
      </c>
      <c r="E481">
        <f t="shared" si="199"/>
        <v>202</v>
      </c>
      <c r="F481">
        <f t="shared" si="194"/>
        <v>250</v>
      </c>
      <c r="I481">
        <f t="shared" si="200"/>
        <v>197</v>
      </c>
      <c r="J481">
        <f t="shared" si="195"/>
        <v>250</v>
      </c>
      <c r="M481">
        <f t="shared" si="201"/>
        <v>238</v>
      </c>
      <c r="N481">
        <f t="shared" si="196"/>
        <v>250</v>
      </c>
      <c r="Q481">
        <f t="shared" si="202"/>
        <v>-330</v>
      </c>
      <c r="R481">
        <f t="shared" si="197"/>
        <v>250</v>
      </c>
      <c r="U481">
        <f t="shared" si="203"/>
        <v>-250</v>
      </c>
      <c r="V481">
        <f t="shared" si="192"/>
        <v>250</v>
      </c>
      <c r="Y481">
        <f t="shared" si="204"/>
        <v>212</v>
      </c>
      <c r="Z481">
        <f t="shared" si="193"/>
        <v>250</v>
      </c>
    </row>
    <row r="482" spans="1:26" x14ac:dyDescent="0.4">
      <c r="A482">
        <f t="shared" si="198"/>
        <v>205.00000000000006</v>
      </c>
      <c r="B482">
        <f t="shared" si="191"/>
        <v>265.00000000000006</v>
      </c>
      <c r="E482">
        <f t="shared" si="199"/>
        <v>217.00000000000006</v>
      </c>
      <c r="F482">
        <f t="shared" si="194"/>
        <v>265.00000000000006</v>
      </c>
      <c r="I482">
        <f t="shared" si="200"/>
        <v>212.00000000000006</v>
      </c>
      <c r="J482">
        <f t="shared" si="195"/>
        <v>265.00000000000006</v>
      </c>
      <c r="M482">
        <f t="shared" si="201"/>
        <v>253.00000000000006</v>
      </c>
      <c r="N482">
        <f t="shared" si="196"/>
        <v>265.00000000000006</v>
      </c>
      <c r="Q482">
        <f t="shared" si="202"/>
        <v>-314.99999999999994</v>
      </c>
      <c r="R482">
        <f t="shared" si="197"/>
        <v>265.00000000000006</v>
      </c>
      <c r="U482">
        <f t="shared" si="203"/>
        <v>-234.99999999999994</v>
      </c>
      <c r="V482">
        <f t="shared" si="192"/>
        <v>265.00000000000006</v>
      </c>
      <c r="Y482">
        <f t="shared" si="204"/>
        <v>227.00000000000006</v>
      </c>
      <c r="Z482">
        <f t="shared" si="193"/>
        <v>265.00000000000006</v>
      </c>
    </row>
    <row r="483" spans="1:26" x14ac:dyDescent="0.4">
      <c r="A483">
        <f t="shared" si="198"/>
        <v>220</v>
      </c>
      <c r="B483">
        <f t="shared" si="191"/>
        <v>280</v>
      </c>
      <c r="E483">
        <f t="shared" si="199"/>
        <v>232</v>
      </c>
      <c r="F483">
        <f t="shared" si="194"/>
        <v>280</v>
      </c>
      <c r="I483">
        <f t="shared" si="200"/>
        <v>227</v>
      </c>
      <c r="J483">
        <f t="shared" si="195"/>
        <v>280</v>
      </c>
      <c r="M483">
        <f t="shared" si="201"/>
        <v>268</v>
      </c>
      <c r="N483">
        <f t="shared" si="196"/>
        <v>280</v>
      </c>
      <c r="Q483">
        <f t="shared" si="202"/>
        <v>-300</v>
      </c>
      <c r="R483">
        <f t="shared" si="197"/>
        <v>280</v>
      </c>
      <c r="U483">
        <f t="shared" si="203"/>
        <v>-220</v>
      </c>
      <c r="V483">
        <f t="shared" si="192"/>
        <v>280</v>
      </c>
      <c r="Y483">
        <f t="shared" si="204"/>
        <v>242</v>
      </c>
      <c r="Z483">
        <f t="shared" si="193"/>
        <v>280</v>
      </c>
    </row>
    <row r="484" spans="1:26" x14ac:dyDescent="0.4">
      <c r="A484">
        <f t="shared" si="198"/>
        <v>240</v>
      </c>
      <c r="B484">
        <f t="shared" si="191"/>
        <v>300</v>
      </c>
      <c r="E484">
        <f t="shared" si="199"/>
        <v>252</v>
      </c>
      <c r="F484">
        <f t="shared" si="194"/>
        <v>300</v>
      </c>
      <c r="I484">
        <f t="shared" si="200"/>
        <v>247</v>
      </c>
      <c r="J484">
        <f t="shared" si="195"/>
        <v>300</v>
      </c>
      <c r="M484">
        <f t="shared" si="201"/>
        <v>288</v>
      </c>
      <c r="N484">
        <f t="shared" si="196"/>
        <v>300</v>
      </c>
      <c r="Q484">
        <f t="shared" si="202"/>
        <v>-280</v>
      </c>
      <c r="R484">
        <f t="shared" si="197"/>
        <v>300</v>
      </c>
      <c r="U484">
        <f t="shared" si="203"/>
        <v>-200</v>
      </c>
      <c r="V484">
        <f t="shared" si="192"/>
        <v>300</v>
      </c>
      <c r="Y484">
        <f t="shared" si="204"/>
        <v>262</v>
      </c>
      <c r="Z484">
        <f t="shared" si="193"/>
        <v>300</v>
      </c>
    </row>
    <row r="485" spans="1:26" x14ac:dyDescent="0.4">
      <c r="A485">
        <f t="shared" si="198"/>
        <v>255</v>
      </c>
      <c r="B485">
        <f t="shared" si="191"/>
        <v>315</v>
      </c>
      <c r="E485">
        <f t="shared" si="199"/>
        <v>267</v>
      </c>
      <c r="F485">
        <f t="shared" si="194"/>
        <v>315</v>
      </c>
      <c r="I485">
        <f t="shared" si="200"/>
        <v>262</v>
      </c>
      <c r="J485">
        <f t="shared" si="195"/>
        <v>315</v>
      </c>
      <c r="M485">
        <f t="shared" si="201"/>
        <v>303</v>
      </c>
      <c r="N485">
        <f t="shared" si="196"/>
        <v>315</v>
      </c>
      <c r="Q485">
        <f t="shared" si="202"/>
        <v>-265</v>
      </c>
      <c r="R485">
        <f t="shared" si="197"/>
        <v>315</v>
      </c>
      <c r="U485">
        <f t="shared" si="203"/>
        <v>-185</v>
      </c>
      <c r="V485">
        <f t="shared" si="192"/>
        <v>315</v>
      </c>
      <c r="Y485">
        <f t="shared" si="204"/>
        <v>277</v>
      </c>
      <c r="Z485">
        <f t="shared" si="193"/>
        <v>315</v>
      </c>
    </row>
    <row r="486" spans="1:26" x14ac:dyDescent="0.4">
      <c r="A486">
        <f t="shared" si="198"/>
        <v>275</v>
      </c>
      <c r="B486">
        <f t="shared" si="191"/>
        <v>335</v>
      </c>
      <c r="E486">
        <f t="shared" si="199"/>
        <v>287</v>
      </c>
      <c r="F486">
        <f t="shared" si="194"/>
        <v>335</v>
      </c>
      <c r="I486">
        <f t="shared" si="200"/>
        <v>282</v>
      </c>
      <c r="J486">
        <f t="shared" si="195"/>
        <v>335</v>
      </c>
      <c r="M486">
        <f t="shared" si="201"/>
        <v>323</v>
      </c>
      <c r="N486">
        <f t="shared" si="196"/>
        <v>335</v>
      </c>
      <c r="Q486">
        <f t="shared" si="202"/>
        <v>-245</v>
      </c>
      <c r="R486">
        <f t="shared" si="197"/>
        <v>335</v>
      </c>
      <c r="U486">
        <f t="shared" si="203"/>
        <v>-165</v>
      </c>
      <c r="V486">
        <f t="shared" si="192"/>
        <v>335</v>
      </c>
      <c r="Y486">
        <f t="shared" si="204"/>
        <v>297</v>
      </c>
      <c r="Z486">
        <f t="shared" si="193"/>
        <v>335</v>
      </c>
    </row>
    <row r="487" spans="1:26" x14ac:dyDescent="0.4">
      <c r="A487">
        <f t="shared" si="198"/>
        <v>295</v>
      </c>
      <c r="B487">
        <f t="shared" si="191"/>
        <v>355</v>
      </c>
      <c r="E487">
        <f t="shared" si="199"/>
        <v>307</v>
      </c>
      <c r="F487">
        <f t="shared" si="194"/>
        <v>355</v>
      </c>
      <c r="I487">
        <f t="shared" si="200"/>
        <v>302</v>
      </c>
      <c r="J487">
        <f t="shared" si="195"/>
        <v>355</v>
      </c>
      <c r="M487">
        <f t="shared" si="201"/>
        <v>343</v>
      </c>
      <c r="N487">
        <f t="shared" si="196"/>
        <v>355</v>
      </c>
      <c r="Q487">
        <f t="shared" si="202"/>
        <v>-225</v>
      </c>
      <c r="R487">
        <f t="shared" si="197"/>
        <v>355</v>
      </c>
      <c r="U487">
        <f t="shared" si="203"/>
        <v>-145</v>
      </c>
      <c r="V487">
        <f t="shared" si="192"/>
        <v>355</v>
      </c>
      <c r="Y487">
        <f t="shared" si="204"/>
        <v>317</v>
      </c>
      <c r="Z487">
        <f t="shared" si="193"/>
        <v>355</v>
      </c>
    </row>
    <row r="488" spans="1:26" x14ac:dyDescent="0.4">
      <c r="A488">
        <f t="shared" si="198"/>
        <v>315</v>
      </c>
      <c r="B488">
        <f t="shared" si="191"/>
        <v>375</v>
      </c>
      <c r="E488">
        <f t="shared" si="199"/>
        <v>327</v>
      </c>
      <c r="F488">
        <f t="shared" si="194"/>
        <v>375</v>
      </c>
      <c r="I488">
        <f t="shared" si="200"/>
        <v>322</v>
      </c>
      <c r="J488">
        <f t="shared" si="195"/>
        <v>375</v>
      </c>
      <c r="M488">
        <f t="shared" si="201"/>
        <v>363</v>
      </c>
      <c r="N488">
        <f t="shared" si="196"/>
        <v>375</v>
      </c>
      <c r="Q488">
        <f t="shared" si="202"/>
        <v>-205</v>
      </c>
      <c r="R488">
        <f t="shared" si="197"/>
        <v>375</v>
      </c>
      <c r="U488">
        <f t="shared" si="203"/>
        <v>-125</v>
      </c>
      <c r="V488">
        <f t="shared" si="192"/>
        <v>375</v>
      </c>
      <c r="Y488">
        <f t="shared" si="204"/>
        <v>337</v>
      </c>
      <c r="Z488">
        <f t="shared" si="193"/>
        <v>375</v>
      </c>
    </row>
    <row r="489" spans="1:26" x14ac:dyDescent="0.4">
      <c r="A489">
        <f t="shared" si="198"/>
        <v>340</v>
      </c>
      <c r="B489">
        <f t="shared" si="191"/>
        <v>400</v>
      </c>
      <c r="E489">
        <f t="shared" si="199"/>
        <v>352</v>
      </c>
      <c r="F489">
        <f t="shared" si="194"/>
        <v>400</v>
      </c>
      <c r="I489">
        <f t="shared" si="200"/>
        <v>347</v>
      </c>
      <c r="J489">
        <f t="shared" si="195"/>
        <v>400</v>
      </c>
      <c r="M489">
        <f t="shared" si="201"/>
        <v>388</v>
      </c>
      <c r="N489">
        <f t="shared" si="196"/>
        <v>400</v>
      </c>
      <c r="Q489">
        <f t="shared" si="202"/>
        <v>-180</v>
      </c>
      <c r="R489">
        <f t="shared" si="197"/>
        <v>400</v>
      </c>
      <c r="U489">
        <f t="shared" si="203"/>
        <v>-100</v>
      </c>
      <c r="V489">
        <f t="shared" si="192"/>
        <v>400</v>
      </c>
      <c r="Y489">
        <f t="shared" si="204"/>
        <v>362</v>
      </c>
      <c r="Z489">
        <f t="shared" si="193"/>
        <v>400</v>
      </c>
    </row>
    <row r="490" spans="1:26" x14ac:dyDescent="0.4">
      <c r="A490">
        <f t="shared" si="198"/>
        <v>365</v>
      </c>
      <c r="B490">
        <f t="shared" si="191"/>
        <v>425</v>
      </c>
      <c r="E490">
        <f t="shared" si="199"/>
        <v>377</v>
      </c>
      <c r="F490">
        <f t="shared" si="194"/>
        <v>425</v>
      </c>
      <c r="I490">
        <f t="shared" si="200"/>
        <v>372</v>
      </c>
      <c r="J490">
        <f t="shared" si="195"/>
        <v>425</v>
      </c>
      <c r="M490">
        <f t="shared" si="201"/>
        <v>413</v>
      </c>
      <c r="N490">
        <f t="shared" si="196"/>
        <v>425</v>
      </c>
      <c r="Q490">
        <f t="shared" si="202"/>
        <v>-155</v>
      </c>
      <c r="R490">
        <f t="shared" si="197"/>
        <v>425</v>
      </c>
      <c r="U490">
        <f t="shared" si="203"/>
        <v>-75</v>
      </c>
      <c r="V490">
        <f t="shared" si="192"/>
        <v>425</v>
      </c>
      <c r="Y490">
        <f t="shared" si="204"/>
        <v>387</v>
      </c>
      <c r="Z490">
        <f t="shared" si="193"/>
        <v>425</v>
      </c>
    </row>
    <row r="491" spans="1:26" x14ac:dyDescent="0.4">
      <c r="A491">
        <f t="shared" si="198"/>
        <v>390</v>
      </c>
      <c r="B491">
        <f t="shared" si="191"/>
        <v>450</v>
      </c>
      <c r="E491">
        <f t="shared" si="199"/>
        <v>402</v>
      </c>
      <c r="F491">
        <f t="shared" si="194"/>
        <v>450</v>
      </c>
      <c r="I491">
        <f t="shared" si="200"/>
        <v>397</v>
      </c>
      <c r="J491">
        <f t="shared" si="195"/>
        <v>450</v>
      </c>
      <c r="M491">
        <f t="shared" si="201"/>
        <v>438</v>
      </c>
      <c r="N491">
        <f t="shared" si="196"/>
        <v>450</v>
      </c>
      <c r="Q491">
        <f t="shared" si="202"/>
        <v>-130</v>
      </c>
      <c r="R491">
        <f t="shared" si="197"/>
        <v>450</v>
      </c>
      <c r="U491">
        <f t="shared" si="203"/>
        <v>-50</v>
      </c>
      <c r="V491">
        <f t="shared" si="192"/>
        <v>450</v>
      </c>
      <c r="Y491">
        <f t="shared" si="204"/>
        <v>412</v>
      </c>
      <c r="Z491">
        <f t="shared" si="193"/>
        <v>450</v>
      </c>
    </row>
    <row r="492" spans="1:26" x14ac:dyDescent="0.4">
      <c r="A492">
        <f t="shared" si="198"/>
        <v>415</v>
      </c>
      <c r="B492">
        <f t="shared" si="191"/>
        <v>475</v>
      </c>
      <c r="E492">
        <f t="shared" si="199"/>
        <v>427</v>
      </c>
      <c r="F492">
        <f t="shared" si="194"/>
        <v>475</v>
      </c>
      <c r="I492">
        <f t="shared" si="200"/>
        <v>422</v>
      </c>
      <c r="J492">
        <f t="shared" si="195"/>
        <v>475</v>
      </c>
      <c r="M492">
        <f t="shared" si="201"/>
        <v>463</v>
      </c>
      <c r="N492">
        <f t="shared" si="196"/>
        <v>475</v>
      </c>
      <c r="Q492">
        <f t="shared" si="202"/>
        <v>-105</v>
      </c>
      <c r="R492">
        <f t="shared" si="197"/>
        <v>475</v>
      </c>
      <c r="U492">
        <f t="shared" si="203"/>
        <v>-25</v>
      </c>
      <c r="V492">
        <f t="shared" si="192"/>
        <v>475</v>
      </c>
      <c r="Y492">
        <f t="shared" si="204"/>
        <v>437</v>
      </c>
      <c r="Z492">
        <f t="shared" si="193"/>
        <v>475</v>
      </c>
    </row>
    <row r="493" spans="1:26" x14ac:dyDescent="0.4">
      <c r="A493">
        <f t="shared" si="198"/>
        <v>440</v>
      </c>
      <c r="B493">
        <f t="shared" si="191"/>
        <v>500</v>
      </c>
      <c r="E493">
        <f t="shared" si="199"/>
        <v>452</v>
      </c>
      <c r="F493">
        <f t="shared" si="194"/>
        <v>500</v>
      </c>
      <c r="I493">
        <f t="shared" si="200"/>
        <v>447</v>
      </c>
      <c r="J493">
        <f t="shared" si="195"/>
        <v>500</v>
      </c>
      <c r="M493">
        <f t="shared" si="201"/>
        <v>488</v>
      </c>
      <c r="N493">
        <f t="shared" si="196"/>
        <v>500</v>
      </c>
      <c r="Q493">
        <f t="shared" si="202"/>
        <v>-80</v>
      </c>
      <c r="R493">
        <f t="shared" si="197"/>
        <v>500</v>
      </c>
      <c r="U493">
        <f t="shared" si="203"/>
        <v>0</v>
      </c>
      <c r="V493">
        <f t="shared" si="192"/>
        <v>500</v>
      </c>
      <c r="Y493">
        <f t="shared" si="204"/>
        <v>462</v>
      </c>
      <c r="Z493">
        <f t="shared" si="193"/>
        <v>500</v>
      </c>
    </row>
    <row r="494" spans="1:26" x14ac:dyDescent="0.4">
      <c r="A494">
        <f t="shared" si="198"/>
        <v>470.00000000000011</v>
      </c>
      <c r="B494">
        <f t="shared" si="191"/>
        <v>530.00000000000011</v>
      </c>
      <c r="E494">
        <f t="shared" si="199"/>
        <v>482.00000000000011</v>
      </c>
      <c r="F494">
        <f t="shared" si="194"/>
        <v>530.00000000000011</v>
      </c>
      <c r="I494">
        <f t="shared" si="200"/>
        <v>477.00000000000011</v>
      </c>
      <c r="J494">
        <f t="shared" si="195"/>
        <v>530.00000000000011</v>
      </c>
      <c r="M494">
        <f t="shared" si="201"/>
        <v>518.00000000000011</v>
      </c>
      <c r="N494">
        <f t="shared" si="196"/>
        <v>530.00000000000011</v>
      </c>
      <c r="Q494">
        <f t="shared" si="202"/>
        <v>-49.999999999999886</v>
      </c>
      <c r="R494">
        <f t="shared" si="197"/>
        <v>530.00000000000011</v>
      </c>
      <c r="U494">
        <f t="shared" si="203"/>
        <v>30.000000000000114</v>
      </c>
      <c r="V494">
        <f t="shared" si="192"/>
        <v>530.00000000000011</v>
      </c>
      <c r="Y494">
        <f t="shared" si="204"/>
        <v>492.00000000000011</v>
      </c>
      <c r="Z494">
        <f t="shared" si="193"/>
        <v>530.00000000000011</v>
      </c>
    </row>
    <row r="495" spans="1:26" x14ac:dyDescent="0.4">
      <c r="A495">
        <f t="shared" si="198"/>
        <v>500</v>
      </c>
      <c r="B495">
        <f t="shared" si="191"/>
        <v>560</v>
      </c>
      <c r="E495">
        <f t="shared" si="199"/>
        <v>512</v>
      </c>
      <c r="F495">
        <f t="shared" si="194"/>
        <v>560</v>
      </c>
      <c r="I495">
        <f t="shared" si="200"/>
        <v>507</v>
      </c>
      <c r="J495">
        <f t="shared" si="195"/>
        <v>560</v>
      </c>
      <c r="M495">
        <f t="shared" si="201"/>
        <v>548</v>
      </c>
      <c r="N495">
        <f t="shared" si="196"/>
        <v>560</v>
      </c>
      <c r="Q495">
        <f t="shared" si="202"/>
        <v>-20</v>
      </c>
      <c r="R495">
        <f t="shared" si="197"/>
        <v>560</v>
      </c>
      <c r="U495">
        <f t="shared" si="203"/>
        <v>60</v>
      </c>
      <c r="V495">
        <f t="shared" si="192"/>
        <v>560</v>
      </c>
      <c r="Y495">
        <f t="shared" si="204"/>
        <v>522</v>
      </c>
      <c r="Z495">
        <f t="shared" si="193"/>
        <v>560</v>
      </c>
    </row>
    <row r="496" spans="1:26" x14ac:dyDescent="0.4">
      <c r="A496">
        <f t="shared" si="198"/>
        <v>540</v>
      </c>
      <c r="B496">
        <f t="shared" si="191"/>
        <v>600</v>
      </c>
      <c r="E496">
        <f t="shared" si="199"/>
        <v>552</v>
      </c>
      <c r="F496">
        <f t="shared" si="194"/>
        <v>600</v>
      </c>
      <c r="I496">
        <f t="shared" si="200"/>
        <v>547</v>
      </c>
      <c r="J496">
        <f t="shared" si="195"/>
        <v>600</v>
      </c>
      <c r="M496">
        <f t="shared" si="201"/>
        <v>588</v>
      </c>
      <c r="N496">
        <f t="shared" si="196"/>
        <v>600</v>
      </c>
      <c r="Q496">
        <f t="shared" si="202"/>
        <v>20</v>
      </c>
      <c r="R496">
        <f t="shared" si="197"/>
        <v>600</v>
      </c>
      <c r="U496">
        <f t="shared" si="203"/>
        <v>100</v>
      </c>
      <c r="V496">
        <f t="shared" si="192"/>
        <v>600</v>
      </c>
      <c r="Y496">
        <f t="shared" si="204"/>
        <v>562</v>
      </c>
      <c r="Z496">
        <f t="shared" si="193"/>
        <v>600</v>
      </c>
    </row>
    <row r="497" spans="1:26" x14ac:dyDescent="0.4">
      <c r="A497">
        <f t="shared" si="198"/>
        <v>570</v>
      </c>
      <c r="B497">
        <f t="shared" si="191"/>
        <v>630</v>
      </c>
      <c r="E497">
        <f t="shared" si="199"/>
        <v>582</v>
      </c>
      <c r="F497">
        <f t="shared" si="194"/>
        <v>630</v>
      </c>
      <c r="I497">
        <f t="shared" si="200"/>
        <v>577</v>
      </c>
      <c r="J497">
        <f t="shared" si="195"/>
        <v>630</v>
      </c>
      <c r="M497">
        <f t="shared" si="201"/>
        <v>618</v>
      </c>
      <c r="N497">
        <f t="shared" si="196"/>
        <v>630</v>
      </c>
      <c r="Q497">
        <f t="shared" si="202"/>
        <v>50</v>
      </c>
      <c r="R497">
        <f t="shared" si="197"/>
        <v>630</v>
      </c>
      <c r="U497">
        <f t="shared" si="203"/>
        <v>130</v>
      </c>
      <c r="V497">
        <f t="shared" si="192"/>
        <v>630</v>
      </c>
      <c r="Y497">
        <f t="shared" si="204"/>
        <v>592</v>
      </c>
      <c r="Z497">
        <f t="shared" si="193"/>
        <v>630</v>
      </c>
    </row>
    <row r="498" spans="1:26" x14ac:dyDescent="0.4">
      <c r="A498">
        <f t="shared" si="198"/>
        <v>610</v>
      </c>
      <c r="B498">
        <f t="shared" si="191"/>
        <v>670</v>
      </c>
      <c r="E498">
        <f t="shared" si="199"/>
        <v>622</v>
      </c>
      <c r="F498">
        <f t="shared" si="194"/>
        <v>670</v>
      </c>
      <c r="I498">
        <f t="shared" si="200"/>
        <v>617</v>
      </c>
      <c r="J498">
        <f t="shared" si="195"/>
        <v>670</v>
      </c>
      <c r="M498">
        <f t="shared" si="201"/>
        <v>658</v>
      </c>
      <c r="N498">
        <f t="shared" si="196"/>
        <v>670</v>
      </c>
      <c r="Q498">
        <f t="shared" si="202"/>
        <v>90</v>
      </c>
      <c r="R498">
        <f t="shared" si="197"/>
        <v>670</v>
      </c>
      <c r="U498">
        <f t="shared" si="203"/>
        <v>170</v>
      </c>
      <c r="V498">
        <f t="shared" si="192"/>
        <v>670</v>
      </c>
      <c r="Y498">
        <f t="shared" si="204"/>
        <v>632</v>
      </c>
      <c r="Z498">
        <f t="shared" si="193"/>
        <v>670</v>
      </c>
    </row>
    <row r="499" spans="1:26" x14ac:dyDescent="0.4">
      <c r="A499">
        <f t="shared" si="198"/>
        <v>650</v>
      </c>
      <c r="B499">
        <f t="shared" si="191"/>
        <v>710</v>
      </c>
      <c r="E499">
        <f t="shared" si="199"/>
        <v>662</v>
      </c>
      <c r="F499">
        <f t="shared" si="194"/>
        <v>710</v>
      </c>
      <c r="I499">
        <f t="shared" si="200"/>
        <v>657</v>
      </c>
      <c r="J499">
        <f t="shared" si="195"/>
        <v>710</v>
      </c>
      <c r="M499">
        <f t="shared" si="201"/>
        <v>698</v>
      </c>
      <c r="N499">
        <f t="shared" si="196"/>
        <v>710</v>
      </c>
      <c r="Q499">
        <f t="shared" si="202"/>
        <v>130</v>
      </c>
      <c r="R499">
        <f t="shared" si="197"/>
        <v>710</v>
      </c>
      <c r="U499">
        <f t="shared" si="203"/>
        <v>210</v>
      </c>
      <c r="V499">
        <f t="shared" si="192"/>
        <v>710</v>
      </c>
      <c r="Y499">
        <f t="shared" si="204"/>
        <v>672</v>
      </c>
      <c r="Z499">
        <f t="shared" si="193"/>
        <v>710</v>
      </c>
    </row>
    <row r="500" spans="1:26" x14ac:dyDescent="0.4">
      <c r="A500">
        <f t="shared" si="198"/>
        <v>690</v>
      </c>
      <c r="B500">
        <f t="shared" si="191"/>
        <v>750</v>
      </c>
      <c r="E500">
        <f t="shared" si="199"/>
        <v>702</v>
      </c>
      <c r="F500">
        <f t="shared" si="194"/>
        <v>750</v>
      </c>
      <c r="I500">
        <f t="shared" si="200"/>
        <v>697</v>
      </c>
      <c r="J500">
        <f t="shared" si="195"/>
        <v>750</v>
      </c>
      <c r="M500">
        <f t="shared" si="201"/>
        <v>738</v>
      </c>
      <c r="N500">
        <f t="shared" si="196"/>
        <v>750</v>
      </c>
      <c r="Q500">
        <f t="shared" si="202"/>
        <v>170</v>
      </c>
      <c r="R500">
        <f t="shared" si="197"/>
        <v>750</v>
      </c>
      <c r="U500">
        <f t="shared" si="203"/>
        <v>250</v>
      </c>
      <c r="V500">
        <f t="shared" si="192"/>
        <v>750</v>
      </c>
      <c r="Y500">
        <f t="shared" si="204"/>
        <v>712</v>
      </c>
      <c r="Z500">
        <f t="shared" si="193"/>
        <v>750</v>
      </c>
    </row>
    <row r="501" spans="1:26" x14ac:dyDescent="0.4">
      <c r="A501">
        <f t="shared" si="198"/>
        <v>740</v>
      </c>
      <c r="B501">
        <f t="shared" si="191"/>
        <v>800</v>
      </c>
      <c r="E501">
        <f t="shared" si="199"/>
        <v>752</v>
      </c>
      <c r="F501">
        <f t="shared" si="194"/>
        <v>800</v>
      </c>
      <c r="I501">
        <f t="shared" si="200"/>
        <v>747</v>
      </c>
      <c r="J501">
        <f t="shared" si="195"/>
        <v>800</v>
      </c>
      <c r="M501">
        <f t="shared" si="201"/>
        <v>788</v>
      </c>
      <c r="N501">
        <f t="shared" si="196"/>
        <v>800</v>
      </c>
      <c r="Q501">
        <f t="shared" si="202"/>
        <v>220</v>
      </c>
      <c r="R501">
        <f t="shared" si="197"/>
        <v>800</v>
      </c>
      <c r="U501">
        <f t="shared" si="203"/>
        <v>300</v>
      </c>
      <c r="V501">
        <f t="shared" si="192"/>
        <v>800</v>
      </c>
      <c r="Y501">
        <f t="shared" si="204"/>
        <v>762</v>
      </c>
      <c r="Z501">
        <f t="shared" si="193"/>
        <v>800</v>
      </c>
    </row>
    <row r="502" spans="1:26" x14ac:dyDescent="0.4">
      <c r="A502">
        <f t="shared" si="198"/>
        <v>790</v>
      </c>
      <c r="B502">
        <f t="shared" si="191"/>
        <v>850</v>
      </c>
      <c r="E502">
        <f t="shared" si="199"/>
        <v>802</v>
      </c>
      <c r="F502">
        <f t="shared" si="194"/>
        <v>850</v>
      </c>
      <c r="I502">
        <f t="shared" si="200"/>
        <v>797</v>
      </c>
      <c r="J502">
        <f t="shared" si="195"/>
        <v>850</v>
      </c>
      <c r="M502">
        <f t="shared" si="201"/>
        <v>838</v>
      </c>
      <c r="N502">
        <f t="shared" si="196"/>
        <v>850</v>
      </c>
      <c r="Q502">
        <f t="shared" si="202"/>
        <v>270</v>
      </c>
      <c r="R502">
        <f t="shared" si="197"/>
        <v>850</v>
      </c>
      <c r="U502">
        <f t="shared" si="203"/>
        <v>350</v>
      </c>
      <c r="V502">
        <f t="shared" si="192"/>
        <v>850</v>
      </c>
      <c r="Y502">
        <f t="shared" si="204"/>
        <v>812</v>
      </c>
      <c r="Z502">
        <f t="shared" si="193"/>
        <v>850</v>
      </c>
    </row>
    <row r="503" spans="1:26" x14ac:dyDescent="0.4">
      <c r="A503">
        <f t="shared" si="198"/>
        <v>840</v>
      </c>
      <c r="B503">
        <f t="shared" si="191"/>
        <v>900</v>
      </c>
      <c r="E503">
        <f t="shared" si="199"/>
        <v>852</v>
      </c>
      <c r="F503">
        <f t="shared" si="194"/>
        <v>900</v>
      </c>
      <c r="I503">
        <f t="shared" si="200"/>
        <v>847</v>
      </c>
      <c r="J503">
        <f t="shared" si="195"/>
        <v>900</v>
      </c>
      <c r="M503">
        <f t="shared" si="201"/>
        <v>888</v>
      </c>
      <c r="N503">
        <f t="shared" si="196"/>
        <v>900</v>
      </c>
      <c r="Q503">
        <f t="shared" si="202"/>
        <v>320</v>
      </c>
      <c r="R503">
        <f t="shared" si="197"/>
        <v>900</v>
      </c>
      <c r="U503">
        <f t="shared" si="203"/>
        <v>400</v>
      </c>
      <c r="V503">
        <f t="shared" si="192"/>
        <v>900</v>
      </c>
      <c r="Y503">
        <f t="shared" si="204"/>
        <v>862</v>
      </c>
      <c r="Z503">
        <f t="shared" si="193"/>
        <v>900</v>
      </c>
    </row>
    <row r="504" spans="1:26" x14ac:dyDescent="0.4">
      <c r="A504">
        <f t="shared" si="198"/>
        <v>890</v>
      </c>
      <c r="B504">
        <f t="shared" si="191"/>
        <v>950</v>
      </c>
      <c r="E504">
        <f t="shared" si="199"/>
        <v>902</v>
      </c>
      <c r="F504">
        <f t="shared" si="194"/>
        <v>950</v>
      </c>
      <c r="I504">
        <f t="shared" si="200"/>
        <v>897</v>
      </c>
      <c r="J504">
        <f t="shared" si="195"/>
        <v>950</v>
      </c>
      <c r="M504">
        <f t="shared" si="201"/>
        <v>938</v>
      </c>
      <c r="N504">
        <f t="shared" si="196"/>
        <v>950</v>
      </c>
      <c r="Q504">
        <f t="shared" si="202"/>
        <v>370</v>
      </c>
      <c r="R504">
        <f t="shared" si="197"/>
        <v>950</v>
      </c>
      <c r="U504">
        <f t="shared" si="203"/>
        <v>450</v>
      </c>
      <c r="V504">
        <f t="shared" si="192"/>
        <v>950</v>
      </c>
      <c r="Y504">
        <f t="shared" si="204"/>
        <v>912</v>
      </c>
      <c r="Z504">
        <f t="shared" si="193"/>
        <v>950</v>
      </c>
    </row>
    <row r="505" spans="1:26" x14ac:dyDescent="0.4">
      <c r="A505">
        <f t="shared" si="198"/>
        <v>940</v>
      </c>
      <c r="B505">
        <f t="shared" si="191"/>
        <v>1000</v>
      </c>
      <c r="E505">
        <f t="shared" si="199"/>
        <v>952</v>
      </c>
      <c r="F505">
        <f t="shared" si="194"/>
        <v>1000</v>
      </c>
      <c r="I505">
        <f t="shared" si="200"/>
        <v>947</v>
      </c>
      <c r="J505">
        <f t="shared" si="195"/>
        <v>1000</v>
      </c>
      <c r="M505">
        <f t="shared" si="201"/>
        <v>988</v>
      </c>
      <c r="N505">
        <f t="shared" si="196"/>
        <v>1000</v>
      </c>
      <c r="Q505">
        <f t="shared" si="202"/>
        <v>420</v>
      </c>
      <c r="R505">
        <f t="shared" si="197"/>
        <v>1000</v>
      </c>
      <c r="U505">
        <f t="shared" si="203"/>
        <v>500</v>
      </c>
      <c r="V505">
        <f t="shared" si="192"/>
        <v>1000</v>
      </c>
      <c r="Y505">
        <f t="shared" si="204"/>
        <v>962</v>
      </c>
      <c r="Z505">
        <f t="shared" si="193"/>
        <v>1000</v>
      </c>
    </row>
    <row r="506" spans="1:26" x14ac:dyDescent="0.4">
      <c r="A506">
        <f t="shared" si="198"/>
        <v>1000.0000000000002</v>
      </c>
      <c r="B506">
        <f t="shared" si="191"/>
        <v>1060.0000000000002</v>
      </c>
      <c r="E506">
        <f t="shared" si="199"/>
        <v>1012.0000000000002</v>
      </c>
      <c r="F506">
        <f t="shared" si="194"/>
        <v>1060.0000000000002</v>
      </c>
      <c r="I506">
        <f t="shared" si="200"/>
        <v>1007.0000000000002</v>
      </c>
      <c r="J506">
        <f t="shared" si="195"/>
        <v>1060.0000000000002</v>
      </c>
      <c r="M506">
        <f t="shared" si="201"/>
        <v>1048.0000000000002</v>
      </c>
      <c r="N506">
        <f t="shared" si="196"/>
        <v>1060.0000000000002</v>
      </c>
      <c r="Q506">
        <f t="shared" si="202"/>
        <v>480.00000000000023</v>
      </c>
      <c r="R506">
        <f t="shared" si="197"/>
        <v>1060.0000000000002</v>
      </c>
      <c r="U506">
        <f t="shared" si="203"/>
        <v>560.00000000000023</v>
      </c>
      <c r="V506">
        <f t="shared" si="192"/>
        <v>1060.0000000000002</v>
      </c>
      <c r="Y506">
        <f t="shared" si="204"/>
        <v>1022.0000000000002</v>
      </c>
      <c r="Z506">
        <f t="shared" si="193"/>
        <v>1060.0000000000002</v>
      </c>
    </row>
    <row r="507" spans="1:26" x14ac:dyDescent="0.4">
      <c r="A507">
        <f t="shared" si="198"/>
        <v>1060.0000000000002</v>
      </c>
      <c r="B507">
        <f t="shared" si="191"/>
        <v>1120.0000000000002</v>
      </c>
      <c r="E507">
        <f t="shared" si="199"/>
        <v>1072.0000000000002</v>
      </c>
      <c r="F507">
        <f t="shared" si="194"/>
        <v>1120.0000000000002</v>
      </c>
      <c r="I507">
        <f t="shared" si="200"/>
        <v>1067.0000000000002</v>
      </c>
      <c r="J507">
        <f t="shared" si="195"/>
        <v>1120.0000000000002</v>
      </c>
      <c r="M507">
        <f t="shared" si="201"/>
        <v>1108.0000000000002</v>
      </c>
      <c r="N507">
        <f t="shared" si="196"/>
        <v>1120.0000000000002</v>
      </c>
      <c r="Q507">
        <f t="shared" si="202"/>
        <v>540.00000000000023</v>
      </c>
      <c r="R507">
        <f t="shared" si="197"/>
        <v>1120.0000000000002</v>
      </c>
      <c r="U507">
        <f t="shared" si="203"/>
        <v>620.00000000000023</v>
      </c>
      <c r="V507">
        <f t="shared" si="192"/>
        <v>1120.0000000000002</v>
      </c>
      <c r="Y507">
        <f t="shared" si="204"/>
        <v>1082.0000000000002</v>
      </c>
      <c r="Z507">
        <f t="shared" si="193"/>
        <v>1120.0000000000002</v>
      </c>
    </row>
    <row r="508" spans="1:26" x14ac:dyDescent="0.4">
      <c r="A508">
        <f t="shared" si="198"/>
        <v>1119.9999999999998</v>
      </c>
      <c r="B508">
        <f t="shared" si="191"/>
        <v>1179.9999999999998</v>
      </c>
      <c r="E508">
        <f t="shared" si="199"/>
        <v>1131.9999999999998</v>
      </c>
      <c r="F508">
        <f t="shared" si="194"/>
        <v>1179.9999999999998</v>
      </c>
      <c r="I508">
        <f t="shared" si="200"/>
        <v>1126.9999999999998</v>
      </c>
      <c r="J508">
        <f t="shared" si="195"/>
        <v>1179.9999999999998</v>
      </c>
      <c r="M508">
        <f t="shared" si="201"/>
        <v>1167.9999999999998</v>
      </c>
      <c r="N508">
        <f t="shared" si="196"/>
        <v>1179.9999999999998</v>
      </c>
      <c r="Q508">
        <f t="shared" si="202"/>
        <v>599.99999999999977</v>
      </c>
      <c r="R508">
        <f t="shared" si="197"/>
        <v>1179.9999999999998</v>
      </c>
      <c r="U508">
        <f t="shared" si="203"/>
        <v>679.99999999999977</v>
      </c>
      <c r="V508">
        <f t="shared" si="192"/>
        <v>1179.9999999999998</v>
      </c>
      <c r="Y508">
        <f t="shared" si="204"/>
        <v>1141.9999999999998</v>
      </c>
      <c r="Z508">
        <f t="shared" si="193"/>
        <v>1179.9999999999998</v>
      </c>
    </row>
    <row r="509" spans="1:26" x14ac:dyDescent="0.4">
      <c r="A509">
        <f t="shared" si="198"/>
        <v>1190</v>
      </c>
      <c r="B509">
        <f t="shared" si="191"/>
        <v>1250</v>
      </c>
      <c r="E509">
        <f t="shared" si="199"/>
        <v>1202</v>
      </c>
      <c r="F509">
        <f t="shared" si="194"/>
        <v>1250</v>
      </c>
      <c r="I509">
        <f t="shared" si="200"/>
        <v>1197</v>
      </c>
      <c r="J509">
        <f t="shared" si="195"/>
        <v>1250</v>
      </c>
      <c r="M509">
        <f t="shared" si="201"/>
        <v>1238</v>
      </c>
      <c r="N509">
        <f t="shared" si="196"/>
        <v>1250</v>
      </c>
      <c r="Q509">
        <f t="shared" si="202"/>
        <v>670</v>
      </c>
      <c r="R509">
        <f t="shared" si="197"/>
        <v>1250</v>
      </c>
      <c r="U509">
        <f t="shared" si="203"/>
        <v>750</v>
      </c>
      <c r="V509">
        <f t="shared" si="192"/>
        <v>1250</v>
      </c>
      <c r="Y509">
        <f t="shared" si="204"/>
        <v>1212</v>
      </c>
      <c r="Z509">
        <f t="shared" si="193"/>
        <v>1250</v>
      </c>
    </row>
    <row r="510" spans="1:26" x14ac:dyDescent="0.4">
      <c r="A510">
        <f t="shared" si="198"/>
        <v>1260</v>
      </c>
      <c r="B510">
        <f t="shared" si="191"/>
        <v>1320</v>
      </c>
      <c r="E510">
        <f t="shared" si="199"/>
        <v>1272</v>
      </c>
      <c r="F510">
        <f t="shared" si="194"/>
        <v>1320</v>
      </c>
      <c r="I510">
        <f t="shared" si="200"/>
        <v>1267</v>
      </c>
      <c r="J510">
        <f t="shared" si="195"/>
        <v>1320</v>
      </c>
      <c r="M510">
        <f t="shared" si="201"/>
        <v>1308</v>
      </c>
      <c r="N510">
        <f t="shared" si="196"/>
        <v>1320</v>
      </c>
      <c r="Q510">
        <f t="shared" si="202"/>
        <v>740</v>
      </c>
      <c r="R510">
        <f t="shared" si="197"/>
        <v>1320</v>
      </c>
      <c r="U510">
        <f t="shared" si="203"/>
        <v>820</v>
      </c>
      <c r="V510">
        <f t="shared" si="192"/>
        <v>1320</v>
      </c>
      <c r="Y510">
        <f t="shared" si="204"/>
        <v>1282</v>
      </c>
      <c r="Z510">
        <f t="shared" si="193"/>
        <v>1320</v>
      </c>
    </row>
    <row r="511" spans="1:26" x14ac:dyDescent="0.4">
      <c r="A511">
        <f t="shared" si="198"/>
        <v>1340</v>
      </c>
      <c r="B511">
        <f t="shared" si="191"/>
        <v>1400</v>
      </c>
      <c r="E511">
        <f t="shared" si="199"/>
        <v>1352</v>
      </c>
      <c r="F511">
        <f t="shared" si="194"/>
        <v>1400</v>
      </c>
      <c r="I511">
        <f t="shared" si="200"/>
        <v>1347</v>
      </c>
      <c r="J511">
        <f t="shared" si="195"/>
        <v>1400</v>
      </c>
      <c r="M511">
        <f t="shared" si="201"/>
        <v>1388</v>
      </c>
      <c r="N511">
        <f t="shared" si="196"/>
        <v>1400</v>
      </c>
      <c r="Q511">
        <f t="shared" si="202"/>
        <v>820</v>
      </c>
      <c r="R511">
        <f t="shared" si="197"/>
        <v>1400</v>
      </c>
      <c r="U511">
        <f t="shared" si="203"/>
        <v>900</v>
      </c>
      <c r="V511">
        <f t="shared" si="192"/>
        <v>1400</v>
      </c>
      <c r="Y511">
        <f t="shared" si="204"/>
        <v>1362</v>
      </c>
      <c r="Z511">
        <f t="shared" si="193"/>
        <v>1400</v>
      </c>
    </row>
    <row r="512" spans="1:26" x14ac:dyDescent="0.4">
      <c r="A512">
        <f t="shared" si="198"/>
        <v>1440</v>
      </c>
      <c r="B512">
        <f t="shared" si="191"/>
        <v>1500</v>
      </c>
      <c r="E512">
        <f t="shared" si="199"/>
        <v>1452</v>
      </c>
      <c r="F512">
        <f t="shared" si="194"/>
        <v>1500</v>
      </c>
      <c r="I512">
        <f t="shared" si="200"/>
        <v>1447</v>
      </c>
      <c r="J512">
        <f t="shared" si="195"/>
        <v>1500</v>
      </c>
      <c r="M512">
        <f t="shared" si="201"/>
        <v>1488</v>
      </c>
      <c r="N512">
        <f t="shared" si="196"/>
        <v>1500</v>
      </c>
      <c r="Q512">
        <f t="shared" si="202"/>
        <v>920</v>
      </c>
      <c r="R512">
        <f t="shared" si="197"/>
        <v>1500</v>
      </c>
      <c r="U512">
        <f t="shared" si="203"/>
        <v>1000</v>
      </c>
      <c r="V512">
        <f t="shared" si="192"/>
        <v>1500</v>
      </c>
      <c r="Y512">
        <f t="shared" si="204"/>
        <v>1462</v>
      </c>
      <c r="Z512">
        <f t="shared" si="193"/>
        <v>1500</v>
      </c>
    </row>
    <row r="513" spans="1:26" x14ac:dyDescent="0.4">
      <c r="A513">
        <f t="shared" si="198"/>
        <v>1540</v>
      </c>
      <c r="B513">
        <f t="shared" si="191"/>
        <v>1600</v>
      </c>
      <c r="E513">
        <f t="shared" si="199"/>
        <v>1552</v>
      </c>
      <c r="F513">
        <f t="shared" si="194"/>
        <v>1600</v>
      </c>
      <c r="I513">
        <f t="shared" si="200"/>
        <v>1547</v>
      </c>
      <c r="J513">
        <f t="shared" si="195"/>
        <v>1600</v>
      </c>
      <c r="M513">
        <f t="shared" si="201"/>
        <v>1588</v>
      </c>
      <c r="N513">
        <f t="shared" si="196"/>
        <v>1600</v>
      </c>
      <c r="Q513">
        <f t="shared" si="202"/>
        <v>1020</v>
      </c>
      <c r="R513">
        <f t="shared" si="197"/>
        <v>1600</v>
      </c>
      <c r="U513">
        <f t="shared" si="203"/>
        <v>1100</v>
      </c>
      <c r="V513">
        <f t="shared" si="192"/>
        <v>1600</v>
      </c>
      <c r="Y513">
        <f t="shared" si="204"/>
        <v>1562</v>
      </c>
      <c r="Z513">
        <f t="shared" si="193"/>
        <v>1600</v>
      </c>
    </row>
    <row r="514" spans="1:26" x14ac:dyDescent="0.4">
      <c r="A514">
        <f t="shared" si="198"/>
        <v>1639.9999999999998</v>
      </c>
      <c r="B514">
        <f t="shared" ref="B514:B577" si="205">B474*10</f>
        <v>1699.9999999999998</v>
      </c>
      <c r="E514">
        <f t="shared" si="199"/>
        <v>1651.9999999999998</v>
      </c>
      <c r="F514">
        <f t="shared" si="194"/>
        <v>1699.9999999999998</v>
      </c>
      <c r="I514">
        <f t="shared" si="200"/>
        <v>1646.9999999999998</v>
      </c>
      <c r="J514">
        <f t="shared" si="195"/>
        <v>1699.9999999999998</v>
      </c>
      <c r="M514">
        <f t="shared" si="201"/>
        <v>1687.9999999999998</v>
      </c>
      <c r="N514">
        <f t="shared" si="196"/>
        <v>1699.9999999999998</v>
      </c>
      <c r="Q514">
        <f t="shared" si="202"/>
        <v>1119.9999999999998</v>
      </c>
      <c r="R514">
        <f t="shared" si="197"/>
        <v>1699.9999999999998</v>
      </c>
      <c r="U514">
        <f t="shared" si="203"/>
        <v>1199.9999999999998</v>
      </c>
      <c r="V514">
        <f t="shared" si="192"/>
        <v>1699.9999999999998</v>
      </c>
      <c r="Y514">
        <f t="shared" si="204"/>
        <v>1661.9999999999998</v>
      </c>
      <c r="Z514">
        <f t="shared" si="193"/>
        <v>1699.9999999999998</v>
      </c>
    </row>
    <row r="515" spans="1:26" x14ac:dyDescent="0.4">
      <c r="A515">
        <f t="shared" si="198"/>
        <v>1740</v>
      </c>
      <c r="B515">
        <f t="shared" si="205"/>
        <v>1800</v>
      </c>
      <c r="E515">
        <f t="shared" si="199"/>
        <v>1752</v>
      </c>
      <c r="F515">
        <f t="shared" si="194"/>
        <v>1800</v>
      </c>
      <c r="I515">
        <f t="shared" si="200"/>
        <v>1747</v>
      </c>
      <c r="J515">
        <f t="shared" si="195"/>
        <v>1800</v>
      </c>
      <c r="M515">
        <f t="shared" si="201"/>
        <v>1788</v>
      </c>
      <c r="N515">
        <f t="shared" si="196"/>
        <v>1800</v>
      </c>
      <c r="Q515">
        <f t="shared" si="202"/>
        <v>1220</v>
      </c>
      <c r="R515">
        <f t="shared" si="197"/>
        <v>1800</v>
      </c>
      <c r="U515">
        <f t="shared" si="203"/>
        <v>1300</v>
      </c>
      <c r="V515">
        <f t="shared" si="192"/>
        <v>1800</v>
      </c>
      <c r="Y515">
        <f t="shared" si="204"/>
        <v>1762</v>
      </c>
      <c r="Z515">
        <f t="shared" si="193"/>
        <v>1800</v>
      </c>
    </row>
    <row r="516" spans="1:26" x14ac:dyDescent="0.4">
      <c r="A516">
        <f t="shared" si="198"/>
        <v>1840</v>
      </c>
      <c r="B516">
        <f t="shared" si="205"/>
        <v>1900</v>
      </c>
      <c r="E516">
        <f t="shared" si="199"/>
        <v>1852</v>
      </c>
      <c r="F516">
        <f t="shared" si="194"/>
        <v>1900</v>
      </c>
      <c r="I516">
        <f t="shared" si="200"/>
        <v>1847</v>
      </c>
      <c r="J516">
        <f t="shared" si="195"/>
        <v>1900</v>
      </c>
      <c r="M516">
        <f t="shared" si="201"/>
        <v>1888</v>
      </c>
      <c r="N516">
        <f t="shared" si="196"/>
        <v>1900</v>
      </c>
      <c r="Q516">
        <f t="shared" si="202"/>
        <v>1320</v>
      </c>
      <c r="R516">
        <f t="shared" si="197"/>
        <v>1900</v>
      </c>
      <c r="U516">
        <f t="shared" si="203"/>
        <v>1400</v>
      </c>
      <c r="V516">
        <f t="shared" si="192"/>
        <v>1900</v>
      </c>
      <c r="Y516">
        <f t="shared" si="204"/>
        <v>1862</v>
      </c>
      <c r="Z516">
        <f t="shared" si="193"/>
        <v>1900</v>
      </c>
    </row>
    <row r="517" spans="1:26" x14ac:dyDescent="0.4">
      <c r="A517">
        <f t="shared" si="198"/>
        <v>1940</v>
      </c>
      <c r="B517">
        <f t="shared" si="205"/>
        <v>2000</v>
      </c>
      <c r="E517">
        <f t="shared" si="199"/>
        <v>1952</v>
      </c>
      <c r="F517">
        <f t="shared" si="194"/>
        <v>2000</v>
      </c>
      <c r="I517">
        <f t="shared" si="200"/>
        <v>1947</v>
      </c>
      <c r="J517">
        <f t="shared" si="195"/>
        <v>2000</v>
      </c>
      <c r="M517">
        <f t="shared" si="201"/>
        <v>1988</v>
      </c>
      <c r="N517">
        <f t="shared" si="196"/>
        <v>2000</v>
      </c>
      <c r="Q517">
        <f t="shared" si="202"/>
        <v>1420</v>
      </c>
      <c r="R517">
        <f t="shared" si="197"/>
        <v>2000</v>
      </c>
      <c r="U517">
        <f t="shared" si="203"/>
        <v>1500</v>
      </c>
      <c r="V517">
        <f t="shared" si="192"/>
        <v>2000</v>
      </c>
      <c r="Y517">
        <f t="shared" si="204"/>
        <v>1962</v>
      </c>
      <c r="Z517">
        <f t="shared" si="193"/>
        <v>2000</v>
      </c>
    </row>
    <row r="518" spans="1:26" x14ac:dyDescent="0.4">
      <c r="A518">
        <f t="shared" si="198"/>
        <v>2060.0000000000005</v>
      </c>
      <c r="B518">
        <f t="shared" si="205"/>
        <v>2120.0000000000005</v>
      </c>
      <c r="E518">
        <f t="shared" si="199"/>
        <v>2072.0000000000005</v>
      </c>
      <c r="F518">
        <f t="shared" si="194"/>
        <v>2120.0000000000005</v>
      </c>
      <c r="I518">
        <f t="shared" si="200"/>
        <v>2067.0000000000005</v>
      </c>
      <c r="J518">
        <f t="shared" si="195"/>
        <v>2120.0000000000005</v>
      </c>
      <c r="M518">
        <f t="shared" si="201"/>
        <v>2108.0000000000005</v>
      </c>
      <c r="N518">
        <f t="shared" si="196"/>
        <v>2120.0000000000005</v>
      </c>
      <c r="Q518">
        <f t="shared" si="202"/>
        <v>1540.0000000000005</v>
      </c>
      <c r="R518">
        <f t="shared" si="197"/>
        <v>2120.0000000000005</v>
      </c>
      <c r="U518">
        <f t="shared" si="203"/>
        <v>1620.0000000000005</v>
      </c>
      <c r="V518">
        <f t="shared" si="192"/>
        <v>2120.0000000000005</v>
      </c>
      <c r="Y518">
        <f t="shared" si="204"/>
        <v>2082.0000000000005</v>
      </c>
      <c r="Z518">
        <f t="shared" si="193"/>
        <v>2120.0000000000005</v>
      </c>
    </row>
    <row r="519" spans="1:26" x14ac:dyDescent="0.4">
      <c r="A519">
        <f t="shared" si="198"/>
        <v>2180.0000000000005</v>
      </c>
      <c r="B519">
        <f t="shared" si="205"/>
        <v>2240.0000000000005</v>
      </c>
      <c r="E519">
        <f t="shared" si="199"/>
        <v>2192.0000000000005</v>
      </c>
      <c r="F519">
        <f t="shared" si="194"/>
        <v>2240.0000000000005</v>
      </c>
      <c r="I519">
        <f t="shared" si="200"/>
        <v>2187.0000000000005</v>
      </c>
      <c r="J519">
        <f t="shared" si="195"/>
        <v>2240.0000000000005</v>
      </c>
      <c r="M519">
        <f t="shared" si="201"/>
        <v>2228.0000000000005</v>
      </c>
      <c r="N519">
        <f t="shared" si="196"/>
        <v>2240.0000000000005</v>
      </c>
      <c r="Q519">
        <f t="shared" si="202"/>
        <v>1660.0000000000005</v>
      </c>
      <c r="R519">
        <f t="shared" si="197"/>
        <v>2240.0000000000005</v>
      </c>
      <c r="U519">
        <f t="shared" si="203"/>
        <v>1740.0000000000005</v>
      </c>
      <c r="V519">
        <f t="shared" si="192"/>
        <v>2240.0000000000005</v>
      </c>
      <c r="Y519">
        <f t="shared" si="204"/>
        <v>2202.0000000000005</v>
      </c>
      <c r="Z519">
        <f t="shared" si="193"/>
        <v>2240.0000000000005</v>
      </c>
    </row>
    <row r="520" spans="1:26" x14ac:dyDescent="0.4">
      <c r="A520">
        <f t="shared" si="198"/>
        <v>2299.9999999999995</v>
      </c>
      <c r="B520">
        <f t="shared" si="205"/>
        <v>2359.9999999999995</v>
      </c>
      <c r="E520">
        <f t="shared" si="199"/>
        <v>2311.9999999999995</v>
      </c>
      <c r="F520">
        <f t="shared" si="194"/>
        <v>2359.9999999999995</v>
      </c>
      <c r="I520">
        <f t="shared" si="200"/>
        <v>2306.9999999999995</v>
      </c>
      <c r="J520">
        <f t="shared" si="195"/>
        <v>2359.9999999999995</v>
      </c>
      <c r="M520">
        <f t="shared" si="201"/>
        <v>2347.9999999999995</v>
      </c>
      <c r="N520">
        <f t="shared" si="196"/>
        <v>2359.9999999999995</v>
      </c>
      <c r="Q520">
        <f t="shared" si="202"/>
        <v>1779.9999999999995</v>
      </c>
      <c r="R520">
        <f t="shared" si="197"/>
        <v>2359.9999999999995</v>
      </c>
      <c r="U520">
        <f t="shared" si="203"/>
        <v>1859.9999999999995</v>
      </c>
      <c r="V520">
        <f t="shared" si="192"/>
        <v>2359.9999999999995</v>
      </c>
      <c r="Y520">
        <f t="shared" si="204"/>
        <v>2321.9999999999995</v>
      </c>
      <c r="Z520">
        <f t="shared" si="193"/>
        <v>2359.9999999999995</v>
      </c>
    </row>
    <row r="521" spans="1:26" x14ac:dyDescent="0.4">
      <c r="A521">
        <f t="shared" si="198"/>
        <v>2440</v>
      </c>
      <c r="B521">
        <f t="shared" si="205"/>
        <v>2500</v>
      </c>
      <c r="E521">
        <f t="shared" si="199"/>
        <v>2452</v>
      </c>
      <c r="F521">
        <f t="shared" si="194"/>
        <v>2500</v>
      </c>
      <c r="I521">
        <f t="shared" si="200"/>
        <v>2447</v>
      </c>
      <c r="J521">
        <f t="shared" si="195"/>
        <v>2500</v>
      </c>
      <c r="M521">
        <f t="shared" si="201"/>
        <v>2488</v>
      </c>
      <c r="N521">
        <f t="shared" si="196"/>
        <v>2500</v>
      </c>
      <c r="Q521">
        <f t="shared" si="202"/>
        <v>1920</v>
      </c>
      <c r="R521">
        <f t="shared" si="197"/>
        <v>2500</v>
      </c>
      <c r="U521">
        <f t="shared" si="203"/>
        <v>2000</v>
      </c>
      <c r="V521">
        <f t="shared" si="192"/>
        <v>2500</v>
      </c>
      <c r="Y521">
        <f t="shared" si="204"/>
        <v>2462</v>
      </c>
      <c r="Z521">
        <f t="shared" si="193"/>
        <v>2500</v>
      </c>
    </row>
    <row r="522" spans="1:26" x14ac:dyDescent="0.4">
      <c r="A522">
        <f t="shared" si="198"/>
        <v>2590.0000000000005</v>
      </c>
      <c r="B522">
        <f t="shared" si="205"/>
        <v>2650.0000000000005</v>
      </c>
      <c r="E522">
        <f t="shared" si="199"/>
        <v>2602.0000000000005</v>
      </c>
      <c r="F522">
        <f t="shared" si="194"/>
        <v>2650.0000000000005</v>
      </c>
      <c r="I522">
        <f t="shared" si="200"/>
        <v>2597.0000000000005</v>
      </c>
      <c r="J522">
        <f t="shared" si="195"/>
        <v>2650.0000000000005</v>
      </c>
      <c r="M522">
        <f t="shared" si="201"/>
        <v>2638.0000000000005</v>
      </c>
      <c r="N522">
        <f t="shared" si="196"/>
        <v>2650.0000000000005</v>
      </c>
      <c r="Q522">
        <f t="shared" si="202"/>
        <v>2070.0000000000005</v>
      </c>
      <c r="R522">
        <f t="shared" si="197"/>
        <v>2650.0000000000005</v>
      </c>
      <c r="U522">
        <f t="shared" si="203"/>
        <v>2150.0000000000005</v>
      </c>
      <c r="V522">
        <f t="shared" si="192"/>
        <v>2650.0000000000005</v>
      </c>
      <c r="Y522">
        <f t="shared" si="204"/>
        <v>2612.0000000000005</v>
      </c>
      <c r="Z522">
        <f t="shared" si="193"/>
        <v>2650.0000000000005</v>
      </c>
    </row>
    <row r="523" spans="1:26" x14ac:dyDescent="0.4">
      <c r="A523">
        <f t="shared" si="198"/>
        <v>2740</v>
      </c>
      <c r="B523">
        <f t="shared" si="205"/>
        <v>2800</v>
      </c>
      <c r="E523">
        <f t="shared" si="199"/>
        <v>2752</v>
      </c>
      <c r="F523">
        <f t="shared" si="194"/>
        <v>2800</v>
      </c>
      <c r="I523">
        <f t="shared" si="200"/>
        <v>2747</v>
      </c>
      <c r="J523">
        <f t="shared" si="195"/>
        <v>2800</v>
      </c>
      <c r="M523">
        <f t="shared" si="201"/>
        <v>2788</v>
      </c>
      <c r="N523">
        <f t="shared" si="196"/>
        <v>2800</v>
      </c>
      <c r="Q523">
        <f t="shared" si="202"/>
        <v>2220</v>
      </c>
      <c r="R523">
        <f t="shared" si="197"/>
        <v>2800</v>
      </c>
      <c r="U523">
        <f t="shared" si="203"/>
        <v>2300</v>
      </c>
      <c r="V523">
        <f t="shared" si="192"/>
        <v>2800</v>
      </c>
      <c r="Y523">
        <f t="shared" si="204"/>
        <v>2762</v>
      </c>
      <c r="Z523">
        <f t="shared" si="193"/>
        <v>2800</v>
      </c>
    </row>
    <row r="524" spans="1:26" x14ac:dyDescent="0.4">
      <c r="A524">
        <f t="shared" si="198"/>
        <v>2940</v>
      </c>
      <c r="B524">
        <f t="shared" si="205"/>
        <v>3000</v>
      </c>
      <c r="E524">
        <f t="shared" si="199"/>
        <v>2952</v>
      </c>
      <c r="F524">
        <f t="shared" si="194"/>
        <v>3000</v>
      </c>
      <c r="I524">
        <f t="shared" si="200"/>
        <v>2947</v>
      </c>
      <c r="J524">
        <f t="shared" si="195"/>
        <v>3000</v>
      </c>
      <c r="M524">
        <f t="shared" si="201"/>
        <v>2988</v>
      </c>
      <c r="N524">
        <f t="shared" si="196"/>
        <v>3000</v>
      </c>
      <c r="Q524">
        <f t="shared" si="202"/>
        <v>2420</v>
      </c>
      <c r="R524">
        <f t="shared" si="197"/>
        <v>3000</v>
      </c>
      <c r="U524">
        <f t="shared" si="203"/>
        <v>2500</v>
      </c>
      <c r="V524">
        <f t="shared" si="192"/>
        <v>3000</v>
      </c>
      <c r="Y524">
        <f t="shared" si="204"/>
        <v>2962</v>
      </c>
      <c r="Z524">
        <f t="shared" si="193"/>
        <v>3000</v>
      </c>
    </row>
    <row r="525" spans="1:26" x14ac:dyDescent="0.4">
      <c r="A525">
        <f t="shared" si="198"/>
        <v>3090</v>
      </c>
      <c r="B525">
        <f t="shared" si="205"/>
        <v>3150</v>
      </c>
      <c r="E525">
        <f t="shared" si="199"/>
        <v>3102</v>
      </c>
      <c r="F525">
        <f t="shared" si="194"/>
        <v>3150</v>
      </c>
      <c r="I525">
        <f t="shared" si="200"/>
        <v>3097</v>
      </c>
      <c r="J525">
        <f t="shared" si="195"/>
        <v>3150</v>
      </c>
      <c r="M525">
        <f t="shared" si="201"/>
        <v>3138</v>
      </c>
      <c r="N525">
        <f t="shared" si="196"/>
        <v>3150</v>
      </c>
      <c r="Q525">
        <f t="shared" si="202"/>
        <v>2570</v>
      </c>
      <c r="R525">
        <f t="shared" si="197"/>
        <v>3150</v>
      </c>
      <c r="U525">
        <f t="shared" si="203"/>
        <v>2650</v>
      </c>
      <c r="V525">
        <f t="shared" si="192"/>
        <v>3150</v>
      </c>
      <c r="Y525">
        <f t="shared" si="204"/>
        <v>3112</v>
      </c>
      <c r="Z525">
        <f t="shared" si="193"/>
        <v>3150</v>
      </c>
    </row>
    <row r="526" spans="1:26" x14ac:dyDescent="0.4">
      <c r="A526">
        <f t="shared" si="198"/>
        <v>3290</v>
      </c>
      <c r="B526">
        <f t="shared" si="205"/>
        <v>3350</v>
      </c>
      <c r="E526">
        <f t="shared" si="199"/>
        <v>3302</v>
      </c>
      <c r="F526">
        <f t="shared" si="194"/>
        <v>3350</v>
      </c>
      <c r="I526">
        <f t="shared" si="200"/>
        <v>3297</v>
      </c>
      <c r="J526">
        <f t="shared" si="195"/>
        <v>3350</v>
      </c>
      <c r="M526">
        <f t="shared" si="201"/>
        <v>3338</v>
      </c>
      <c r="N526">
        <f t="shared" si="196"/>
        <v>3350</v>
      </c>
      <c r="Q526">
        <f t="shared" si="202"/>
        <v>2770</v>
      </c>
      <c r="R526">
        <f t="shared" si="197"/>
        <v>3350</v>
      </c>
      <c r="U526">
        <f t="shared" si="203"/>
        <v>2850</v>
      </c>
      <c r="V526">
        <f t="shared" si="192"/>
        <v>3350</v>
      </c>
      <c r="Y526">
        <f t="shared" si="204"/>
        <v>3312</v>
      </c>
      <c r="Z526">
        <f t="shared" si="193"/>
        <v>3350</v>
      </c>
    </row>
    <row r="527" spans="1:26" x14ac:dyDescent="0.4">
      <c r="A527">
        <f t="shared" si="198"/>
        <v>3490</v>
      </c>
      <c r="B527">
        <f t="shared" si="205"/>
        <v>3550</v>
      </c>
      <c r="E527">
        <f t="shared" si="199"/>
        <v>3502</v>
      </c>
      <c r="F527">
        <f t="shared" si="194"/>
        <v>3550</v>
      </c>
      <c r="I527">
        <f t="shared" si="200"/>
        <v>3497</v>
      </c>
      <c r="J527">
        <f t="shared" si="195"/>
        <v>3550</v>
      </c>
      <c r="M527">
        <f t="shared" si="201"/>
        <v>3538</v>
      </c>
      <c r="N527">
        <f t="shared" si="196"/>
        <v>3550</v>
      </c>
      <c r="Q527">
        <f t="shared" si="202"/>
        <v>2970</v>
      </c>
      <c r="R527">
        <f t="shared" si="197"/>
        <v>3550</v>
      </c>
      <c r="U527">
        <f t="shared" si="203"/>
        <v>3050</v>
      </c>
      <c r="V527">
        <f t="shared" si="192"/>
        <v>3550</v>
      </c>
      <c r="Y527">
        <f t="shared" si="204"/>
        <v>3512</v>
      </c>
      <c r="Z527">
        <f t="shared" si="193"/>
        <v>3550</v>
      </c>
    </row>
    <row r="528" spans="1:26" x14ac:dyDescent="0.4">
      <c r="A528">
        <f t="shared" si="198"/>
        <v>3690</v>
      </c>
      <c r="B528">
        <f t="shared" si="205"/>
        <v>3750</v>
      </c>
      <c r="E528">
        <f t="shared" si="199"/>
        <v>3702</v>
      </c>
      <c r="F528">
        <f t="shared" si="194"/>
        <v>3750</v>
      </c>
      <c r="I528">
        <f t="shared" si="200"/>
        <v>3697</v>
      </c>
      <c r="J528">
        <f t="shared" si="195"/>
        <v>3750</v>
      </c>
      <c r="M528">
        <f t="shared" si="201"/>
        <v>3738</v>
      </c>
      <c r="N528">
        <f t="shared" si="196"/>
        <v>3750</v>
      </c>
      <c r="Q528">
        <f t="shared" si="202"/>
        <v>3170</v>
      </c>
      <c r="R528">
        <f t="shared" si="197"/>
        <v>3750</v>
      </c>
      <c r="U528">
        <f t="shared" si="203"/>
        <v>3250</v>
      </c>
      <c r="V528">
        <f t="shared" si="192"/>
        <v>3750</v>
      </c>
      <c r="Y528">
        <f t="shared" si="204"/>
        <v>3712</v>
      </c>
      <c r="Z528">
        <f t="shared" si="193"/>
        <v>3750</v>
      </c>
    </row>
    <row r="529" spans="1:26" x14ac:dyDescent="0.4">
      <c r="A529">
        <f t="shared" si="198"/>
        <v>3940</v>
      </c>
      <c r="B529">
        <f t="shared" si="205"/>
        <v>4000</v>
      </c>
      <c r="E529">
        <f t="shared" si="199"/>
        <v>3952</v>
      </c>
      <c r="F529">
        <f t="shared" si="194"/>
        <v>4000</v>
      </c>
      <c r="I529">
        <f t="shared" si="200"/>
        <v>3947</v>
      </c>
      <c r="J529">
        <f t="shared" si="195"/>
        <v>4000</v>
      </c>
      <c r="M529">
        <f t="shared" si="201"/>
        <v>3988</v>
      </c>
      <c r="N529">
        <f t="shared" si="196"/>
        <v>4000</v>
      </c>
      <c r="Q529">
        <f t="shared" si="202"/>
        <v>3420</v>
      </c>
      <c r="R529">
        <f t="shared" si="197"/>
        <v>4000</v>
      </c>
      <c r="U529">
        <f t="shared" si="203"/>
        <v>3500</v>
      </c>
      <c r="V529">
        <f t="shared" si="192"/>
        <v>4000</v>
      </c>
      <c r="Y529">
        <f t="shared" si="204"/>
        <v>3962</v>
      </c>
      <c r="Z529">
        <f t="shared" si="193"/>
        <v>4000</v>
      </c>
    </row>
    <row r="530" spans="1:26" x14ac:dyDescent="0.4">
      <c r="A530">
        <f t="shared" si="198"/>
        <v>4190</v>
      </c>
      <c r="B530">
        <f t="shared" si="205"/>
        <v>4250</v>
      </c>
      <c r="E530">
        <f t="shared" si="199"/>
        <v>4202</v>
      </c>
      <c r="F530">
        <f t="shared" si="194"/>
        <v>4250</v>
      </c>
      <c r="I530">
        <f t="shared" si="200"/>
        <v>4197</v>
      </c>
      <c r="J530">
        <f t="shared" si="195"/>
        <v>4250</v>
      </c>
      <c r="M530">
        <f t="shared" si="201"/>
        <v>4238</v>
      </c>
      <c r="N530">
        <f t="shared" si="196"/>
        <v>4250</v>
      </c>
      <c r="Q530">
        <f t="shared" si="202"/>
        <v>3670</v>
      </c>
      <c r="R530">
        <f t="shared" si="197"/>
        <v>4250</v>
      </c>
      <c r="U530">
        <f t="shared" si="203"/>
        <v>3750</v>
      </c>
      <c r="V530">
        <f t="shared" si="192"/>
        <v>4250</v>
      </c>
      <c r="Y530">
        <f t="shared" si="204"/>
        <v>4212</v>
      </c>
      <c r="Z530">
        <f t="shared" si="193"/>
        <v>4250</v>
      </c>
    </row>
    <row r="531" spans="1:26" x14ac:dyDescent="0.4">
      <c r="A531">
        <f t="shared" si="198"/>
        <v>4440</v>
      </c>
      <c r="B531">
        <f t="shared" si="205"/>
        <v>4500</v>
      </c>
      <c r="E531">
        <f t="shared" si="199"/>
        <v>4452</v>
      </c>
      <c r="F531">
        <f t="shared" si="194"/>
        <v>4500</v>
      </c>
      <c r="I531">
        <f t="shared" si="200"/>
        <v>4447</v>
      </c>
      <c r="J531">
        <f t="shared" si="195"/>
        <v>4500</v>
      </c>
      <c r="M531">
        <f t="shared" si="201"/>
        <v>4488</v>
      </c>
      <c r="N531">
        <f t="shared" si="196"/>
        <v>4500</v>
      </c>
      <c r="Q531">
        <f t="shared" si="202"/>
        <v>3920</v>
      </c>
      <c r="R531">
        <f t="shared" si="197"/>
        <v>4500</v>
      </c>
      <c r="U531">
        <f t="shared" si="203"/>
        <v>4000</v>
      </c>
      <c r="V531">
        <f t="shared" si="192"/>
        <v>4500</v>
      </c>
      <c r="Y531">
        <f t="shared" si="204"/>
        <v>4462</v>
      </c>
      <c r="Z531">
        <f t="shared" si="193"/>
        <v>4500</v>
      </c>
    </row>
    <row r="532" spans="1:26" x14ac:dyDescent="0.4">
      <c r="A532">
        <f t="shared" si="198"/>
        <v>4690</v>
      </c>
      <c r="B532">
        <f t="shared" si="205"/>
        <v>4750</v>
      </c>
      <c r="E532">
        <f t="shared" si="199"/>
        <v>4702</v>
      </c>
      <c r="F532">
        <f t="shared" si="194"/>
        <v>4750</v>
      </c>
      <c r="I532">
        <f t="shared" si="200"/>
        <v>4697</v>
      </c>
      <c r="J532">
        <f t="shared" si="195"/>
        <v>4750</v>
      </c>
      <c r="M532">
        <f t="shared" si="201"/>
        <v>4738</v>
      </c>
      <c r="N532">
        <f t="shared" si="196"/>
        <v>4750</v>
      </c>
      <c r="Q532">
        <f t="shared" si="202"/>
        <v>4170</v>
      </c>
      <c r="R532">
        <f t="shared" si="197"/>
        <v>4750</v>
      </c>
      <c r="U532">
        <f t="shared" si="203"/>
        <v>4250</v>
      </c>
      <c r="V532">
        <f t="shared" si="192"/>
        <v>4750</v>
      </c>
      <c r="Y532">
        <f t="shared" si="204"/>
        <v>4712</v>
      </c>
      <c r="Z532">
        <f t="shared" si="193"/>
        <v>4750</v>
      </c>
    </row>
    <row r="533" spans="1:26" x14ac:dyDescent="0.4">
      <c r="A533">
        <f t="shared" si="198"/>
        <v>4940</v>
      </c>
      <c r="B533">
        <f t="shared" si="205"/>
        <v>5000</v>
      </c>
      <c r="E533">
        <f t="shared" si="199"/>
        <v>4952</v>
      </c>
      <c r="F533">
        <f t="shared" si="194"/>
        <v>5000</v>
      </c>
      <c r="I533">
        <f t="shared" si="200"/>
        <v>4947</v>
      </c>
      <c r="J533">
        <f t="shared" si="195"/>
        <v>5000</v>
      </c>
      <c r="M533">
        <f t="shared" si="201"/>
        <v>4988</v>
      </c>
      <c r="N533">
        <f t="shared" si="196"/>
        <v>5000</v>
      </c>
      <c r="Q533">
        <f t="shared" si="202"/>
        <v>4420</v>
      </c>
      <c r="R533">
        <f t="shared" si="197"/>
        <v>5000</v>
      </c>
      <c r="U533">
        <f t="shared" si="203"/>
        <v>4500</v>
      </c>
      <c r="V533">
        <f t="shared" si="192"/>
        <v>5000</v>
      </c>
      <c r="Y533">
        <f t="shared" si="204"/>
        <v>4962</v>
      </c>
      <c r="Z533">
        <f t="shared" si="193"/>
        <v>5000</v>
      </c>
    </row>
    <row r="534" spans="1:26" x14ac:dyDescent="0.4">
      <c r="A534">
        <f t="shared" si="198"/>
        <v>5240.0000000000009</v>
      </c>
      <c r="B534">
        <f t="shared" si="205"/>
        <v>5300.0000000000009</v>
      </c>
      <c r="E534">
        <f t="shared" si="199"/>
        <v>5252.0000000000009</v>
      </c>
      <c r="F534">
        <f t="shared" si="194"/>
        <v>5300.0000000000009</v>
      </c>
      <c r="I534">
        <f t="shared" si="200"/>
        <v>5247.0000000000009</v>
      </c>
      <c r="J534">
        <f t="shared" si="195"/>
        <v>5300.0000000000009</v>
      </c>
      <c r="M534">
        <f t="shared" si="201"/>
        <v>5288.0000000000009</v>
      </c>
      <c r="N534">
        <f t="shared" si="196"/>
        <v>5300.0000000000009</v>
      </c>
      <c r="Q534">
        <f t="shared" si="202"/>
        <v>4720.0000000000009</v>
      </c>
      <c r="R534">
        <f t="shared" si="197"/>
        <v>5300.0000000000009</v>
      </c>
      <c r="U534">
        <f t="shared" si="203"/>
        <v>4800.0000000000009</v>
      </c>
      <c r="V534">
        <f t="shared" si="192"/>
        <v>5300.0000000000009</v>
      </c>
      <c r="Y534">
        <f t="shared" si="204"/>
        <v>5262.0000000000009</v>
      </c>
      <c r="Z534">
        <f t="shared" si="193"/>
        <v>5300.0000000000009</v>
      </c>
    </row>
    <row r="535" spans="1:26" x14ac:dyDescent="0.4">
      <c r="A535">
        <f t="shared" si="198"/>
        <v>5540</v>
      </c>
      <c r="B535">
        <f t="shared" si="205"/>
        <v>5600</v>
      </c>
      <c r="E535">
        <f t="shared" si="199"/>
        <v>5552</v>
      </c>
      <c r="F535">
        <f t="shared" si="194"/>
        <v>5600</v>
      </c>
      <c r="I535">
        <f t="shared" si="200"/>
        <v>5547</v>
      </c>
      <c r="J535">
        <f t="shared" si="195"/>
        <v>5600</v>
      </c>
      <c r="M535">
        <f t="shared" si="201"/>
        <v>5588</v>
      </c>
      <c r="N535">
        <f t="shared" si="196"/>
        <v>5600</v>
      </c>
      <c r="Q535">
        <f t="shared" si="202"/>
        <v>5020</v>
      </c>
      <c r="R535">
        <f t="shared" si="197"/>
        <v>5600</v>
      </c>
      <c r="U535">
        <f t="shared" si="203"/>
        <v>5100</v>
      </c>
      <c r="V535">
        <f t="shared" si="192"/>
        <v>5600</v>
      </c>
      <c r="Y535">
        <f t="shared" si="204"/>
        <v>5562</v>
      </c>
      <c r="Z535">
        <f t="shared" si="193"/>
        <v>5600</v>
      </c>
    </row>
    <row r="536" spans="1:26" x14ac:dyDescent="0.4">
      <c r="A536">
        <f t="shared" si="198"/>
        <v>5940</v>
      </c>
      <c r="B536">
        <f t="shared" si="205"/>
        <v>6000</v>
      </c>
      <c r="E536">
        <f t="shared" si="199"/>
        <v>5952</v>
      </c>
      <c r="F536">
        <f t="shared" si="194"/>
        <v>6000</v>
      </c>
      <c r="I536">
        <f t="shared" si="200"/>
        <v>5947</v>
      </c>
      <c r="J536">
        <f t="shared" si="195"/>
        <v>6000</v>
      </c>
      <c r="M536">
        <f t="shared" si="201"/>
        <v>5988</v>
      </c>
      <c r="N536">
        <f t="shared" si="196"/>
        <v>6000</v>
      </c>
      <c r="Q536">
        <f t="shared" si="202"/>
        <v>5420</v>
      </c>
      <c r="R536">
        <f t="shared" si="197"/>
        <v>6000</v>
      </c>
      <c r="U536">
        <f t="shared" si="203"/>
        <v>5500</v>
      </c>
      <c r="V536">
        <f t="shared" ref="V536:V599" si="206">R536</f>
        <v>6000</v>
      </c>
      <c r="Y536">
        <f t="shared" si="204"/>
        <v>5962</v>
      </c>
      <c r="Z536">
        <f t="shared" ref="Z536:Z599" si="207">V536</f>
        <v>6000</v>
      </c>
    </row>
    <row r="537" spans="1:26" x14ac:dyDescent="0.4">
      <c r="A537">
        <f t="shared" si="198"/>
        <v>6240</v>
      </c>
      <c r="B537">
        <f t="shared" si="205"/>
        <v>6300</v>
      </c>
      <c r="E537">
        <f t="shared" si="199"/>
        <v>6252</v>
      </c>
      <c r="F537">
        <f t="shared" ref="F537:F600" si="208">B537</f>
        <v>6300</v>
      </c>
      <c r="I537">
        <f t="shared" si="200"/>
        <v>6247</v>
      </c>
      <c r="J537">
        <f t="shared" ref="J537:J600" si="209">F537</f>
        <v>6300</v>
      </c>
      <c r="M537">
        <f t="shared" si="201"/>
        <v>6288</v>
      </c>
      <c r="N537">
        <f t="shared" ref="N537:N600" si="210">J537</f>
        <v>6300</v>
      </c>
      <c r="Q537">
        <f t="shared" si="202"/>
        <v>5720</v>
      </c>
      <c r="R537">
        <f t="shared" ref="R537:R600" si="211">N537</f>
        <v>6300</v>
      </c>
      <c r="U537">
        <f t="shared" si="203"/>
        <v>5800</v>
      </c>
      <c r="V537">
        <f t="shared" si="206"/>
        <v>6300</v>
      </c>
      <c r="Y537">
        <f t="shared" si="204"/>
        <v>6262</v>
      </c>
      <c r="Z537">
        <f t="shared" si="207"/>
        <v>6300</v>
      </c>
    </row>
    <row r="538" spans="1:26" x14ac:dyDescent="0.4">
      <c r="A538">
        <f t="shared" ref="A538:A601" si="212">B538-$A$343</f>
        <v>6640</v>
      </c>
      <c r="B538">
        <f t="shared" si="205"/>
        <v>6700</v>
      </c>
      <c r="E538">
        <f t="shared" ref="E538:E601" si="213">F538-$E$343</f>
        <v>6652</v>
      </c>
      <c r="F538">
        <f t="shared" si="208"/>
        <v>6700</v>
      </c>
      <c r="I538">
        <f t="shared" ref="I538:I601" si="214">J538-$I$343</f>
        <v>6647</v>
      </c>
      <c r="J538">
        <f t="shared" si="209"/>
        <v>6700</v>
      </c>
      <c r="M538">
        <f t="shared" ref="M538:M601" si="215">N538-$M$343</f>
        <v>6688</v>
      </c>
      <c r="N538">
        <f t="shared" si="210"/>
        <v>6700</v>
      </c>
      <c r="Q538">
        <f t="shared" ref="Q538:Q601" si="216">R538-$Q$343</f>
        <v>6120</v>
      </c>
      <c r="R538">
        <f t="shared" si="211"/>
        <v>6700</v>
      </c>
      <c r="U538">
        <f t="shared" ref="U538:U601" si="217">V538-$U$343</f>
        <v>6200</v>
      </c>
      <c r="V538">
        <f t="shared" si="206"/>
        <v>6700</v>
      </c>
      <c r="Y538">
        <f t="shared" ref="Y538:Y601" si="218">Z538-$Y$343</f>
        <v>6662</v>
      </c>
      <c r="Z538">
        <f t="shared" si="207"/>
        <v>6700</v>
      </c>
    </row>
    <row r="539" spans="1:26" x14ac:dyDescent="0.4">
      <c r="A539">
        <f t="shared" si="212"/>
        <v>7040</v>
      </c>
      <c r="B539">
        <f t="shared" si="205"/>
        <v>7100</v>
      </c>
      <c r="E539">
        <f t="shared" si="213"/>
        <v>7052</v>
      </c>
      <c r="F539">
        <f t="shared" si="208"/>
        <v>7100</v>
      </c>
      <c r="I539">
        <f t="shared" si="214"/>
        <v>7047</v>
      </c>
      <c r="J539">
        <f t="shared" si="209"/>
        <v>7100</v>
      </c>
      <c r="M539">
        <f t="shared" si="215"/>
        <v>7088</v>
      </c>
      <c r="N539">
        <f t="shared" si="210"/>
        <v>7100</v>
      </c>
      <c r="Q539">
        <f t="shared" si="216"/>
        <v>6520</v>
      </c>
      <c r="R539">
        <f t="shared" si="211"/>
        <v>7100</v>
      </c>
      <c r="U539">
        <f t="shared" si="217"/>
        <v>6600</v>
      </c>
      <c r="V539">
        <f t="shared" si="206"/>
        <v>7100</v>
      </c>
      <c r="Y539">
        <f t="shared" si="218"/>
        <v>7062</v>
      </c>
      <c r="Z539">
        <f t="shared" si="207"/>
        <v>7100</v>
      </c>
    </row>
    <row r="540" spans="1:26" x14ac:dyDescent="0.4">
      <c r="A540">
        <f t="shared" si="212"/>
        <v>7440</v>
      </c>
      <c r="B540">
        <f t="shared" si="205"/>
        <v>7500</v>
      </c>
      <c r="E540">
        <f t="shared" si="213"/>
        <v>7452</v>
      </c>
      <c r="F540">
        <f t="shared" si="208"/>
        <v>7500</v>
      </c>
      <c r="I540">
        <f t="shared" si="214"/>
        <v>7447</v>
      </c>
      <c r="J540">
        <f t="shared" si="209"/>
        <v>7500</v>
      </c>
      <c r="M540">
        <f t="shared" si="215"/>
        <v>7488</v>
      </c>
      <c r="N540">
        <f t="shared" si="210"/>
        <v>7500</v>
      </c>
      <c r="Q540">
        <f t="shared" si="216"/>
        <v>6920</v>
      </c>
      <c r="R540">
        <f t="shared" si="211"/>
        <v>7500</v>
      </c>
      <c r="U540">
        <f t="shared" si="217"/>
        <v>7000</v>
      </c>
      <c r="V540">
        <f t="shared" si="206"/>
        <v>7500</v>
      </c>
      <c r="Y540">
        <f t="shared" si="218"/>
        <v>7462</v>
      </c>
      <c r="Z540">
        <f t="shared" si="207"/>
        <v>7500</v>
      </c>
    </row>
    <row r="541" spans="1:26" x14ac:dyDescent="0.4">
      <c r="A541">
        <f t="shared" si="212"/>
        <v>7940</v>
      </c>
      <c r="B541">
        <f t="shared" si="205"/>
        <v>8000</v>
      </c>
      <c r="E541">
        <f t="shared" si="213"/>
        <v>7952</v>
      </c>
      <c r="F541">
        <f t="shared" si="208"/>
        <v>8000</v>
      </c>
      <c r="I541">
        <f t="shared" si="214"/>
        <v>7947</v>
      </c>
      <c r="J541">
        <f t="shared" si="209"/>
        <v>8000</v>
      </c>
      <c r="M541">
        <f t="shared" si="215"/>
        <v>7988</v>
      </c>
      <c r="N541">
        <f t="shared" si="210"/>
        <v>8000</v>
      </c>
      <c r="Q541">
        <f t="shared" si="216"/>
        <v>7420</v>
      </c>
      <c r="R541">
        <f t="shared" si="211"/>
        <v>8000</v>
      </c>
      <c r="U541">
        <f t="shared" si="217"/>
        <v>7500</v>
      </c>
      <c r="V541">
        <f t="shared" si="206"/>
        <v>8000</v>
      </c>
      <c r="Y541">
        <f t="shared" si="218"/>
        <v>7962</v>
      </c>
      <c r="Z541">
        <f t="shared" si="207"/>
        <v>8000</v>
      </c>
    </row>
    <row r="542" spans="1:26" x14ac:dyDescent="0.4">
      <c r="A542">
        <f t="shared" si="212"/>
        <v>8440</v>
      </c>
      <c r="B542">
        <f t="shared" si="205"/>
        <v>8500</v>
      </c>
      <c r="E542">
        <f t="shared" si="213"/>
        <v>8452</v>
      </c>
      <c r="F542">
        <f t="shared" si="208"/>
        <v>8500</v>
      </c>
      <c r="I542">
        <f t="shared" si="214"/>
        <v>8447</v>
      </c>
      <c r="J542">
        <f t="shared" si="209"/>
        <v>8500</v>
      </c>
      <c r="M542">
        <f t="shared" si="215"/>
        <v>8488</v>
      </c>
      <c r="N542">
        <f t="shared" si="210"/>
        <v>8500</v>
      </c>
      <c r="Q542">
        <f t="shared" si="216"/>
        <v>7920</v>
      </c>
      <c r="R542">
        <f t="shared" si="211"/>
        <v>8500</v>
      </c>
      <c r="U542">
        <f t="shared" si="217"/>
        <v>8000</v>
      </c>
      <c r="V542">
        <f t="shared" si="206"/>
        <v>8500</v>
      </c>
      <c r="Y542">
        <f t="shared" si="218"/>
        <v>8462</v>
      </c>
      <c r="Z542">
        <f t="shared" si="207"/>
        <v>8500</v>
      </c>
    </row>
    <row r="543" spans="1:26" x14ac:dyDescent="0.4">
      <c r="A543">
        <f t="shared" si="212"/>
        <v>8940</v>
      </c>
      <c r="B543">
        <f t="shared" si="205"/>
        <v>9000</v>
      </c>
      <c r="E543">
        <f t="shared" si="213"/>
        <v>8952</v>
      </c>
      <c r="F543">
        <f t="shared" si="208"/>
        <v>9000</v>
      </c>
      <c r="I543">
        <f t="shared" si="214"/>
        <v>8947</v>
      </c>
      <c r="J543">
        <f t="shared" si="209"/>
        <v>9000</v>
      </c>
      <c r="M543">
        <f t="shared" si="215"/>
        <v>8988</v>
      </c>
      <c r="N543">
        <f t="shared" si="210"/>
        <v>9000</v>
      </c>
      <c r="Q543">
        <f t="shared" si="216"/>
        <v>8420</v>
      </c>
      <c r="R543">
        <f t="shared" si="211"/>
        <v>9000</v>
      </c>
      <c r="U543">
        <f t="shared" si="217"/>
        <v>8500</v>
      </c>
      <c r="V543">
        <f t="shared" si="206"/>
        <v>9000</v>
      </c>
      <c r="Y543">
        <f t="shared" si="218"/>
        <v>8962</v>
      </c>
      <c r="Z543">
        <f t="shared" si="207"/>
        <v>9000</v>
      </c>
    </row>
    <row r="544" spans="1:26" x14ac:dyDescent="0.4">
      <c r="A544">
        <f t="shared" si="212"/>
        <v>9440</v>
      </c>
      <c r="B544">
        <f t="shared" si="205"/>
        <v>9500</v>
      </c>
      <c r="E544">
        <f t="shared" si="213"/>
        <v>9452</v>
      </c>
      <c r="F544">
        <f t="shared" si="208"/>
        <v>9500</v>
      </c>
      <c r="I544">
        <f t="shared" si="214"/>
        <v>9447</v>
      </c>
      <c r="J544">
        <f t="shared" si="209"/>
        <v>9500</v>
      </c>
      <c r="M544">
        <f t="shared" si="215"/>
        <v>9488</v>
      </c>
      <c r="N544">
        <f t="shared" si="210"/>
        <v>9500</v>
      </c>
      <c r="Q544">
        <f t="shared" si="216"/>
        <v>8920</v>
      </c>
      <c r="R544">
        <f t="shared" si="211"/>
        <v>9500</v>
      </c>
      <c r="U544">
        <f t="shared" si="217"/>
        <v>9000</v>
      </c>
      <c r="V544">
        <f t="shared" si="206"/>
        <v>9500</v>
      </c>
      <c r="Y544">
        <f t="shared" si="218"/>
        <v>9462</v>
      </c>
      <c r="Z544">
        <f t="shared" si="207"/>
        <v>9500</v>
      </c>
    </row>
    <row r="545" spans="1:26" x14ac:dyDescent="0.4">
      <c r="A545">
        <f t="shared" si="212"/>
        <v>9940</v>
      </c>
      <c r="B545">
        <f t="shared" si="205"/>
        <v>10000</v>
      </c>
      <c r="E545">
        <f t="shared" si="213"/>
        <v>9952</v>
      </c>
      <c r="F545">
        <f t="shared" si="208"/>
        <v>10000</v>
      </c>
      <c r="I545">
        <f t="shared" si="214"/>
        <v>9947</v>
      </c>
      <c r="J545">
        <f t="shared" si="209"/>
        <v>10000</v>
      </c>
      <c r="M545">
        <f t="shared" si="215"/>
        <v>9988</v>
      </c>
      <c r="N545">
        <f t="shared" si="210"/>
        <v>10000</v>
      </c>
      <c r="Q545">
        <f t="shared" si="216"/>
        <v>9420</v>
      </c>
      <c r="R545">
        <f t="shared" si="211"/>
        <v>10000</v>
      </c>
      <c r="U545">
        <f t="shared" si="217"/>
        <v>9500</v>
      </c>
      <c r="V545">
        <f t="shared" si="206"/>
        <v>10000</v>
      </c>
      <c r="Y545">
        <f t="shared" si="218"/>
        <v>9962</v>
      </c>
      <c r="Z545">
        <f t="shared" si="207"/>
        <v>10000</v>
      </c>
    </row>
    <row r="546" spans="1:26" x14ac:dyDescent="0.4">
      <c r="A546">
        <f t="shared" si="212"/>
        <v>10540.000000000002</v>
      </c>
      <c r="B546">
        <f t="shared" si="205"/>
        <v>10600.000000000002</v>
      </c>
      <c r="E546">
        <f t="shared" si="213"/>
        <v>10552.000000000002</v>
      </c>
      <c r="F546">
        <f t="shared" si="208"/>
        <v>10600.000000000002</v>
      </c>
      <c r="I546">
        <f t="shared" si="214"/>
        <v>10547.000000000002</v>
      </c>
      <c r="J546">
        <f t="shared" si="209"/>
        <v>10600.000000000002</v>
      </c>
      <c r="M546">
        <f t="shared" si="215"/>
        <v>10588.000000000002</v>
      </c>
      <c r="N546">
        <f t="shared" si="210"/>
        <v>10600.000000000002</v>
      </c>
      <c r="Q546">
        <f t="shared" si="216"/>
        <v>10020.000000000002</v>
      </c>
      <c r="R546">
        <f t="shared" si="211"/>
        <v>10600.000000000002</v>
      </c>
      <c r="U546">
        <f t="shared" si="217"/>
        <v>10100.000000000002</v>
      </c>
      <c r="V546">
        <f t="shared" si="206"/>
        <v>10600.000000000002</v>
      </c>
      <c r="Y546">
        <f t="shared" si="218"/>
        <v>10562.000000000002</v>
      </c>
      <c r="Z546">
        <f t="shared" si="207"/>
        <v>10600.000000000002</v>
      </c>
    </row>
    <row r="547" spans="1:26" x14ac:dyDescent="0.4">
      <c r="A547">
        <f t="shared" si="212"/>
        <v>11140.000000000002</v>
      </c>
      <c r="B547">
        <f t="shared" si="205"/>
        <v>11200.000000000002</v>
      </c>
      <c r="E547">
        <f t="shared" si="213"/>
        <v>11152.000000000002</v>
      </c>
      <c r="F547">
        <f t="shared" si="208"/>
        <v>11200.000000000002</v>
      </c>
      <c r="I547">
        <f t="shared" si="214"/>
        <v>11147.000000000002</v>
      </c>
      <c r="J547">
        <f t="shared" si="209"/>
        <v>11200.000000000002</v>
      </c>
      <c r="M547">
        <f t="shared" si="215"/>
        <v>11188.000000000002</v>
      </c>
      <c r="N547">
        <f t="shared" si="210"/>
        <v>11200.000000000002</v>
      </c>
      <c r="Q547">
        <f t="shared" si="216"/>
        <v>10620.000000000002</v>
      </c>
      <c r="R547">
        <f t="shared" si="211"/>
        <v>11200.000000000002</v>
      </c>
      <c r="U547">
        <f t="shared" si="217"/>
        <v>10700.000000000002</v>
      </c>
      <c r="V547">
        <f t="shared" si="206"/>
        <v>11200.000000000002</v>
      </c>
      <c r="Y547">
        <f t="shared" si="218"/>
        <v>11162.000000000002</v>
      </c>
      <c r="Z547">
        <f t="shared" si="207"/>
        <v>11200.000000000002</v>
      </c>
    </row>
    <row r="548" spans="1:26" x14ac:dyDescent="0.4">
      <c r="A548">
        <f t="shared" si="212"/>
        <v>11739.999999999998</v>
      </c>
      <c r="B548">
        <f t="shared" si="205"/>
        <v>11799.999999999998</v>
      </c>
      <c r="E548">
        <f t="shared" si="213"/>
        <v>11751.999999999998</v>
      </c>
      <c r="F548">
        <f t="shared" si="208"/>
        <v>11799.999999999998</v>
      </c>
      <c r="I548">
        <f t="shared" si="214"/>
        <v>11746.999999999998</v>
      </c>
      <c r="J548">
        <f t="shared" si="209"/>
        <v>11799.999999999998</v>
      </c>
      <c r="M548">
        <f t="shared" si="215"/>
        <v>11787.999999999998</v>
      </c>
      <c r="N548">
        <f t="shared" si="210"/>
        <v>11799.999999999998</v>
      </c>
      <c r="Q548">
        <f t="shared" si="216"/>
        <v>11219.999999999998</v>
      </c>
      <c r="R548">
        <f t="shared" si="211"/>
        <v>11799.999999999998</v>
      </c>
      <c r="U548">
        <f t="shared" si="217"/>
        <v>11299.999999999998</v>
      </c>
      <c r="V548">
        <f t="shared" si="206"/>
        <v>11799.999999999998</v>
      </c>
      <c r="Y548">
        <f t="shared" si="218"/>
        <v>11761.999999999998</v>
      </c>
      <c r="Z548">
        <f t="shared" si="207"/>
        <v>11799.999999999998</v>
      </c>
    </row>
    <row r="549" spans="1:26" x14ac:dyDescent="0.4">
      <c r="A549">
        <f t="shared" si="212"/>
        <v>12440</v>
      </c>
      <c r="B549">
        <f t="shared" si="205"/>
        <v>12500</v>
      </c>
      <c r="E549">
        <f t="shared" si="213"/>
        <v>12452</v>
      </c>
      <c r="F549">
        <f t="shared" si="208"/>
        <v>12500</v>
      </c>
      <c r="I549">
        <f t="shared" si="214"/>
        <v>12447</v>
      </c>
      <c r="J549">
        <f t="shared" si="209"/>
        <v>12500</v>
      </c>
      <c r="M549">
        <f t="shared" si="215"/>
        <v>12488</v>
      </c>
      <c r="N549">
        <f t="shared" si="210"/>
        <v>12500</v>
      </c>
      <c r="Q549">
        <f t="shared" si="216"/>
        <v>11920</v>
      </c>
      <c r="R549">
        <f t="shared" si="211"/>
        <v>12500</v>
      </c>
      <c r="U549">
        <f t="shared" si="217"/>
        <v>12000</v>
      </c>
      <c r="V549">
        <f t="shared" si="206"/>
        <v>12500</v>
      </c>
      <c r="Y549">
        <f t="shared" si="218"/>
        <v>12462</v>
      </c>
      <c r="Z549">
        <f t="shared" si="207"/>
        <v>12500</v>
      </c>
    </row>
    <row r="550" spans="1:26" x14ac:dyDescent="0.4">
      <c r="A550">
        <f t="shared" si="212"/>
        <v>13140</v>
      </c>
      <c r="B550">
        <f t="shared" si="205"/>
        <v>13200</v>
      </c>
      <c r="E550">
        <f t="shared" si="213"/>
        <v>13152</v>
      </c>
      <c r="F550">
        <f t="shared" si="208"/>
        <v>13200</v>
      </c>
      <c r="I550">
        <f t="shared" si="214"/>
        <v>13147</v>
      </c>
      <c r="J550">
        <f t="shared" si="209"/>
        <v>13200</v>
      </c>
      <c r="M550">
        <f t="shared" si="215"/>
        <v>13188</v>
      </c>
      <c r="N550">
        <f t="shared" si="210"/>
        <v>13200</v>
      </c>
      <c r="Q550">
        <f t="shared" si="216"/>
        <v>12620</v>
      </c>
      <c r="R550">
        <f t="shared" si="211"/>
        <v>13200</v>
      </c>
      <c r="U550">
        <f t="shared" si="217"/>
        <v>12700</v>
      </c>
      <c r="V550">
        <f t="shared" si="206"/>
        <v>13200</v>
      </c>
      <c r="Y550">
        <f t="shared" si="218"/>
        <v>13162</v>
      </c>
      <c r="Z550">
        <f t="shared" si="207"/>
        <v>13200</v>
      </c>
    </row>
    <row r="551" spans="1:26" x14ac:dyDescent="0.4">
      <c r="A551">
        <f t="shared" si="212"/>
        <v>13940</v>
      </c>
      <c r="B551">
        <f t="shared" si="205"/>
        <v>14000</v>
      </c>
      <c r="E551">
        <f t="shared" si="213"/>
        <v>13952</v>
      </c>
      <c r="F551">
        <f t="shared" si="208"/>
        <v>14000</v>
      </c>
      <c r="I551">
        <f t="shared" si="214"/>
        <v>13947</v>
      </c>
      <c r="J551">
        <f t="shared" si="209"/>
        <v>14000</v>
      </c>
      <c r="M551">
        <f t="shared" si="215"/>
        <v>13988</v>
      </c>
      <c r="N551">
        <f t="shared" si="210"/>
        <v>14000</v>
      </c>
      <c r="Q551">
        <f t="shared" si="216"/>
        <v>13420</v>
      </c>
      <c r="R551">
        <f t="shared" si="211"/>
        <v>14000</v>
      </c>
      <c r="U551">
        <f t="shared" si="217"/>
        <v>13500</v>
      </c>
      <c r="V551">
        <f t="shared" si="206"/>
        <v>14000</v>
      </c>
      <c r="Y551">
        <f t="shared" si="218"/>
        <v>13962</v>
      </c>
      <c r="Z551">
        <f t="shared" si="207"/>
        <v>14000</v>
      </c>
    </row>
    <row r="552" spans="1:26" x14ac:dyDescent="0.4">
      <c r="A552">
        <f t="shared" si="212"/>
        <v>14940</v>
      </c>
      <c r="B552">
        <f t="shared" si="205"/>
        <v>15000</v>
      </c>
      <c r="E552">
        <f t="shared" si="213"/>
        <v>14952</v>
      </c>
      <c r="F552">
        <f t="shared" si="208"/>
        <v>15000</v>
      </c>
      <c r="I552">
        <f t="shared" si="214"/>
        <v>14947</v>
      </c>
      <c r="J552">
        <f t="shared" si="209"/>
        <v>15000</v>
      </c>
      <c r="M552">
        <f t="shared" si="215"/>
        <v>14988</v>
      </c>
      <c r="N552">
        <f t="shared" si="210"/>
        <v>15000</v>
      </c>
      <c r="Q552">
        <f t="shared" si="216"/>
        <v>14420</v>
      </c>
      <c r="R552">
        <f t="shared" si="211"/>
        <v>15000</v>
      </c>
      <c r="U552">
        <f t="shared" si="217"/>
        <v>14500</v>
      </c>
      <c r="V552">
        <f t="shared" si="206"/>
        <v>15000</v>
      </c>
      <c r="Y552">
        <f t="shared" si="218"/>
        <v>14962</v>
      </c>
      <c r="Z552">
        <f t="shared" si="207"/>
        <v>15000</v>
      </c>
    </row>
    <row r="553" spans="1:26" x14ac:dyDescent="0.4">
      <c r="A553">
        <f t="shared" si="212"/>
        <v>15940</v>
      </c>
      <c r="B553">
        <f t="shared" si="205"/>
        <v>16000</v>
      </c>
      <c r="E553">
        <f t="shared" si="213"/>
        <v>15952</v>
      </c>
      <c r="F553">
        <f t="shared" si="208"/>
        <v>16000</v>
      </c>
      <c r="I553">
        <f t="shared" si="214"/>
        <v>15947</v>
      </c>
      <c r="J553">
        <f t="shared" si="209"/>
        <v>16000</v>
      </c>
      <c r="M553">
        <f t="shared" si="215"/>
        <v>15988</v>
      </c>
      <c r="N553">
        <f t="shared" si="210"/>
        <v>16000</v>
      </c>
      <c r="Q553">
        <f t="shared" si="216"/>
        <v>15420</v>
      </c>
      <c r="R553">
        <f t="shared" si="211"/>
        <v>16000</v>
      </c>
      <c r="U553">
        <f t="shared" si="217"/>
        <v>15500</v>
      </c>
      <c r="V553">
        <f t="shared" si="206"/>
        <v>16000</v>
      </c>
      <c r="Y553">
        <f t="shared" si="218"/>
        <v>15962</v>
      </c>
      <c r="Z553">
        <f t="shared" si="207"/>
        <v>16000</v>
      </c>
    </row>
    <row r="554" spans="1:26" x14ac:dyDescent="0.4">
      <c r="A554">
        <f t="shared" si="212"/>
        <v>16939.999999999996</v>
      </c>
      <c r="B554">
        <f t="shared" si="205"/>
        <v>16999.999999999996</v>
      </c>
      <c r="E554">
        <f t="shared" si="213"/>
        <v>16951.999999999996</v>
      </c>
      <c r="F554">
        <f t="shared" si="208"/>
        <v>16999.999999999996</v>
      </c>
      <c r="I554">
        <f t="shared" si="214"/>
        <v>16946.999999999996</v>
      </c>
      <c r="J554">
        <f t="shared" si="209"/>
        <v>16999.999999999996</v>
      </c>
      <c r="M554">
        <f t="shared" si="215"/>
        <v>16987.999999999996</v>
      </c>
      <c r="N554">
        <f t="shared" si="210"/>
        <v>16999.999999999996</v>
      </c>
      <c r="Q554">
        <f t="shared" si="216"/>
        <v>16419.999999999996</v>
      </c>
      <c r="R554">
        <f t="shared" si="211"/>
        <v>16999.999999999996</v>
      </c>
      <c r="U554">
        <f t="shared" si="217"/>
        <v>16499.999999999996</v>
      </c>
      <c r="V554">
        <f t="shared" si="206"/>
        <v>16999.999999999996</v>
      </c>
      <c r="Y554">
        <f t="shared" si="218"/>
        <v>16961.999999999996</v>
      </c>
      <c r="Z554">
        <f t="shared" si="207"/>
        <v>16999.999999999996</v>
      </c>
    </row>
    <row r="555" spans="1:26" x14ac:dyDescent="0.4">
      <c r="A555">
        <f t="shared" si="212"/>
        <v>17940</v>
      </c>
      <c r="B555">
        <f t="shared" si="205"/>
        <v>18000</v>
      </c>
      <c r="E555">
        <f t="shared" si="213"/>
        <v>17952</v>
      </c>
      <c r="F555">
        <f t="shared" si="208"/>
        <v>18000</v>
      </c>
      <c r="I555">
        <f t="shared" si="214"/>
        <v>17947</v>
      </c>
      <c r="J555">
        <f t="shared" si="209"/>
        <v>18000</v>
      </c>
      <c r="M555">
        <f t="shared" si="215"/>
        <v>17988</v>
      </c>
      <c r="N555">
        <f t="shared" si="210"/>
        <v>18000</v>
      </c>
      <c r="Q555">
        <f t="shared" si="216"/>
        <v>17420</v>
      </c>
      <c r="R555">
        <f t="shared" si="211"/>
        <v>18000</v>
      </c>
      <c r="U555">
        <f t="shared" si="217"/>
        <v>17500</v>
      </c>
      <c r="V555">
        <f t="shared" si="206"/>
        <v>18000</v>
      </c>
      <c r="Y555">
        <f t="shared" si="218"/>
        <v>17962</v>
      </c>
      <c r="Z555">
        <f t="shared" si="207"/>
        <v>18000</v>
      </c>
    </row>
    <row r="556" spans="1:26" x14ac:dyDescent="0.4">
      <c r="A556">
        <f t="shared" si="212"/>
        <v>18940</v>
      </c>
      <c r="B556">
        <f t="shared" si="205"/>
        <v>19000</v>
      </c>
      <c r="E556">
        <f t="shared" si="213"/>
        <v>18952</v>
      </c>
      <c r="F556">
        <f t="shared" si="208"/>
        <v>19000</v>
      </c>
      <c r="I556">
        <f t="shared" si="214"/>
        <v>18947</v>
      </c>
      <c r="J556">
        <f t="shared" si="209"/>
        <v>19000</v>
      </c>
      <c r="M556">
        <f t="shared" si="215"/>
        <v>18988</v>
      </c>
      <c r="N556">
        <f t="shared" si="210"/>
        <v>19000</v>
      </c>
      <c r="Q556">
        <f t="shared" si="216"/>
        <v>18420</v>
      </c>
      <c r="R556">
        <f t="shared" si="211"/>
        <v>19000</v>
      </c>
      <c r="U556">
        <f t="shared" si="217"/>
        <v>18500</v>
      </c>
      <c r="V556">
        <f t="shared" si="206"/>
        <v>19000</v>
      </c>
      <c r="Y556">
        <f t="shared" si="218"/>
        <v>18962</v>
      </c>
      <c r="Z556">
        <f t="shared" si="207"/>
        <v>19000</v>
      </c>
    </row>
    <row r="557" spans="1:26" x14ac:dyDescent="0.4">
      <c r="A557">
        <f t="shared" si="212"/>
        <v>19940</v>
      </c>
      <c r="B557">
        <f t="shared" si="205"/>
        <v>20000</v>
      </c>
      <c r="E557">
        <f t="shared" si="213"/>
        <v>19952</v>
      </c>
      <c r="F557">
        <f t="shared" si="208"/>
        <v>20000</v>
      </c>
      <c r="I557">
        <f t="shared" si="214"/>
        <v>19947</v>
      </c>
      <c r="J557">
        <f t="shared" si="209"/>
        <v>20000</v>
      </c>
      <c r="M557">
        <f t="shared" si="215"/>
        <v>19988</v>
      </c>
      <c r="N557">
        <f t="shared" si="210"/>
        <v>20000</v>
      </c>
      <c r="Q557">
        <f t="shared" si="216"/>
        <v>19420</v>
      </c>
      <c r="R557">
        <f t="shared" si="211"/>
        <v>20000</v>
      </c>
      <c r="U557">
        <f t="shared" si="217"/>
        <v>19500</v>
      </c>
      <c r="V557">
        <f t="shared" si="206"/>
        <v>20000</v>
      </c>
      <c r="Y557">
        <f t="shared" si="218"/>
        <v>19962</v>
      </c>
      <c r="Z557">
        <f t="shared" si="207"/>
        <v>20000</v>
      </c>
    </row>
    <row r="558" spans="1:26" x14ac:dyDescent="0.4">
      <c r="A558">
        <f t="shared" si="212"/>
        <v>21140.000000000004</v>
      </c>
      <c r="B558">
        <f t="shared" si="205"/>
        <v>21200.000000000004</v>
      </c>
      <c r="E558">
        <f t="shared" si="213"/>
        <v>21152.000000000004</v>
      </c>
      <c r="F558">
        <f t="shared" si="208"/>
        <v>21200.000000000004</v>
      </c>
      <c r="I558">
        <f t="shared" si="214"/>
        <v>21147.000000000004</v>
      </c>
      <c r="J558">
        <f t="shared" si="209"/>
        <v>21200.000000000004</v>
      </c>
      <c r="M558">
        <f t="shared" si="215"/>
        <v>21188.000000000004</v>
      </c>
      <c r="N558">
        <f t="shared" si="210"/>
        <v>21200.000000000004</v>
      </c>
      <c r="Q558">
        <f t="shared" si="216"/>
        <v>20620.000000000004</v>
      </c>
      <c r="R558">
        <f t="shared" si="211"/>
        <v>21200.000000000004</v>
      </c>
      <c r="U558">
        <f t="shared" si="217"/>
        <v>20700.000000000004</v>
      </c>
      <c r="V558">
        <f t="shared" si="206"/>
        <v>21200.000000000004</v>
      </c>
      <c r="Y558">
        <f t="shared" si="218"/>
        <v>21162.000000000004</v>
      </c>
      <c r="Z558">
        <f t="shared" si="207"/>
        <v>21200.000000000004</v>
      </c>
    </row>
    <row r="559" spans="1:26" x14ac:dyDescent="0.4">
      <c r="A559">
        <f t="shared" si="212"/>
        <v>22340.000000000004</v>
      </c>
      <c r="B559">
        <f t="shared" si="205"/>
        <v>22400.000000000004</v>
      </c>
      <c r="E559">
        <f t="shared" si="213"/>
        <v>22352.000000000004</v>
      </c>
      <c r="F559">
        <f t="shared" si="208"/>
        <v>22400.000000000004</v>
      </c>
      <c r="I559">
        <f t="shared" si="214"/>
        <v>22347.000000000004</v>
      </c>
      <c r="J559">
        <f t="shared" si="209"/>
        <v>22400.000000000004</v>
      </c>
      <c r="M559">
        <f t="shared" si="215"/>
        <v>22388.000000000004</v>
      </c>
      <c r="N559">
        <f t="shared" si="210"/>
        <v>22400.000000000004</v>
      </c>
      <c r="Q559">
        <f t="shared" si="216"/>
        <v>21820.000000000004</v>
      </c>
      <c r="R559">
        <f t="shared" si="211"/>
        <v>22400.000000000004</v>
      </c>
      <c r="U559">
        <f t="shared" si="217"/>
        <v>21900.000000000004</v>
      </c>
      <c r="V559">
        <f t="shared" si="206"/>
        <v>22400.000000000004</v>
      </c>
      <c r="Y559">
        <f t="shared" si="218"/>
        <v>22362.000000000004</v>
      </c>
      <c r="Z559">
        <f t="shared" si="207"/>
        <v>22400.000000000004</v>
      </c>
    </row>
    <row r="560" spans="1:26" x14ac:dyDescent="0.4">
      <c r="A560">
        <f t="shared" si="212"/>
        <v>23539.999999999996</v>
      </c>
      <c r="B560">
        <f t="shared" si="205"/>
        <v>23599.999999999996</v>
      </c>
      <c r="E560">
        <f t="shared" si="213"/>
        <v>23551.999999999996</v>
      </c>
      <c r="F560">
        <f t="shared" si="208"/>
        <v>23599.999999999996</v>
      </c>
      <c r="I560">
        <f t="shared" si="214"/>
        <v>23546.999999999996</v>
      </c>
      <c r="J560">
        <f t="shared" si="209"/>
        <v>23599.999999999996</v>
      </c>
      <c r="M560">
        <f t="shared" si="215"/>
        <v>23587.999999999996</v>
      </c>
      <c r="N560">
        <f t="shared" si="210"/>
        <v>23599.999999999996</v>
      </c>
      <c r="Q560">
        <f t="shared" si="216"/>
        <v>23019.999999999996</v>
      </c>
      <c r="R560">
        <f t="shared" si="211"/>
        <v>23599.999999999996</v>
      </c>
      <c r="U560">
        <f t="shared" si="217"/>
        <v>23099.999999999996</v>
      </c>
      <c r="V560">
        <f t="shared" si="206"/>
        <v>23599.999999999996</v>
      </c>
      <c r="Y560">
        <f t="shared" si="218"/>
        <v>23561.999999999996</v>
      </c>
      <c r="Z560">
        <f t="shared" si="207"/>
        <v>23599.999999999996</v>
      </c>
    </row>
    <row r="561" spans="1:26" x14ac:dyDescent="0.4">
      <c r="A561">
        <f t="shared" si="212"/>
        <v>24940</v>
      </c>
      <c r="B561">
        <f t="shared" si="205"/>
        <v>25000</v>
      </c>
      <c r="E561">
        <f t="shared" si="213"/>
        <v>24952</v>
      </c>
      <c r="F561">
        <f t="shared" si="208"/>
        <v>25000</v>
      </c>
      <c r="I561">
        <f t="shared" si="214"/>
        <v>24947</v>
      </c>
      <c r="J561">
        <f t="shared" si="209"/>
        <v>25000</v>
      </c>
      <c r="M561">
        <f t="shared" si="215"/>
        <v>24988</v>
      </c>
      <c r="N561">
        <f t="shared" si="210"/>
        <v>25000</v>
      </c>
      <c r="Q561">
        <f t="shared" si="216"/>
        <v>24420</v>
      </c>
      <c r="R561">
        <f t="shared" si="211"/>
        <v>25000</v>
      </c>
      <c r="U561">
        <f t="shared" si="217"/>
        <v>24500</v>
      </c>
      <c r="V561">
        <f t="shared" si="206"/>
        <v>25000</v>
      </c>
      <c r="Y561">
        <f t="shared" si="218"/>
        <v>24962</v>
      </c>
      <c r="Z561">
        <f t="shared" si="207"/>
        <v>25000</v>
      </c>
    </row>
    <row r="562" spans="1:26" x14ac:dyDescent="0.4">
      <c r="A562">
        <f t="shared" si="212"/>
        <v>26440.000000000004</v>
      </c>
      <c r="B562">
        <f t="shared" si="205"/>
        <v>26500.000000000004</v>
      </c>
      <c r="E562">
        <f t="shared" si="213"/>
        <v>26452.000000000004</v>
      </c>
      <c r="F562">
        <f t="shared" si="208"/>
        <v>26500.000000000004</v>
      </c>
      <c r="I562">
        <f t="shared" si="214"/>
        <v>26447.000000000004</v>
      </c>
      <c r="J562">
        <f t="shared" si="209"/>
        <v>26500.000000000004</v>
      </c>
      <c r="M562">
        <f t="shared" si="215"/>
        <v>26488.000000000004</v>
      </c>
      <c r="N562">
        <f t="shared" si="210"/>
        <v>26500.000000000004</v>
      </c>
      <c r="Q562">
        <f t="shared" si="216"/>
        <v>25920.000000000004</v>
      </c>
      <c r="R562">
        <f t="shared" si="211"/>
        <v>26500.000000000004</v>
      </c>
      <c r="U562">
        <f t="shared" si="217"/>
        <v>26000.000000000004</v>
      </c>
      <c r="V562">
        <f t="shared" si="206"/>
        <v>26500.000000000004</v>
      </c>
      <c r="Y562">
        <f t="shared" si="218"/>
        <v>26462.000000000004</v>
      </c>
      <c r="Z562">
        <f t="shared" si="207"/>
        <v>26500.000000000004</v>
      </c>
    </row>
    <row r="563" spans="1:26" x14ac:dyDescent="0.4">
      <c r="A563">
        <f t="shared" si="212"/>
        <v>27940</v>
      </c>
      <c r="B563">
        <f t="shared" si="205"/>
        <v>28000</v>
      </c>
      <c r="E563">
        <f t="shared" si="213"/>
        <v>27952</v>
      </c>
      <c r="F563">
        <f t="shared" si="208"/>
        <v>28000</v>
      </c>
      <c r="I563">
        <f t="shared" si="214"/>
        <v>27947</v>
      </c>
      <c r="J563">
        <f t="shared" si="209"/>
        <v>28000</v>
      </c>
      <c r="M563">
        <f t="shared" si="215"/>
        <v>27988</v>
      </c>
      <c r="N563">
        <f t="shared" si="210"/>
        <v>28000</v>
      </c>
      <c r="Q563">
        <f t="shared" si="216"/>
        <v>27420</v>
      </c>
      <c r="R563">
        <f t="shared" si="211"/>
        <v>28000</v>
      </c>
      <c r="U563">
        <f t="shared" si="217"/>
        <v>27500</v>
      </c>
      <c r="V563">
        <f t="shared" si="206"/>
        <v>28000</v>
      </c>
      <c r="Y563">
        <f t="shared" si="218"/>
        <v>27962</v>
      </c>
      <c r="Z563">
        <f t="shared" si="207"/>
        <v>28000</v>
      </c>
    </row>
    <row r="564" spans="1:26" x14ac:dyDescent="0.4">
      <c r="A564">
        <f t="shared" si="212"/>
        <v>29940</v>
      </c>
      <c r="B564">
        <f t="shared" si="205"/>
        <v>30000</v>
      </c>
      <c r="E564">
        <f t="shared" si="213"/>
        <v>29952</v>
      </c>
      <c r="F564">
        <f t="shared" si="208"/>
        <v>30000</v>
      </c>
      <c r="I564">
        <f t="shared" si="214"/>
        <v>29947</v>
      </c>
      <c r="J564">
        <f t="shared" si="209"/>
        <v>30000</v>
      </c>
      <c r="M564">
        <f t="shared" si="215"/>
        <v>29988</v>
      </c>
      <c r="N564">
        <f t="shared" si="210"/>
        <v>30000</v>
      </c>
      <c r="Q564">
        <f t="shared" si="216"/>
        <v>29420</v>
      </c>
      <c r="R564">
        <f t="shared" si="211"/>
        <v>30000</v>
      </c>
      <c r="U564">
        <f t="shared" si="217"/>
        <v>29500</v>
      </c>
      <c r="V564">
        <f t="shared" si="206"/>
        <v>30000</v>
      </c>
      <c r="Y564">
        <f t="shared" si="218"/>
        <v>29962</v>
      </c>
      <c r="Z564">
        <f t="shared" si="207"/>
        <v>30000</v>
      </c>
    </row>
    <row r="565" spans="1:26" x14ac:dyDescent="0.4">
      <c r="A565">
        <f t="shared" si="212"/>
        <v>31440</v>
      </c>
      <c r="B565">
        <f t="shared" si="205"/>
        <v>31500</v>
      </c>
      <c r="E565">
        <f t="shared" si="213"/>
        <v>31452</v>
      </c>
      <c r="F565">
        <f t="shared" si="208"/>
        <v>31500</v>
      </c>
      <c r="I565">
        <f t="shared" si="214"/>
        <v>31447</v>
      </c>
      <c r="J565">
        <f t="shared" si="209"/>
        <v>31500</v>
      </c>
      <c r="M565">
        <f t="shared" si="215"/>
        <v>31488</v>
      </c>
      <c r="N565">
        <f t="shared" si="210"/>
        <v>31500</v>
      </c>
      <c r="Q565">
        <f t="shared" si="216"/>
        <v>30920</v>
      </c>
      <c r="R565">
        <f t="shared" si="211"/>
        <v>31500</v>
      </c>
      <c r="U565">
        <f t="shared" si="217"/>
        <v>31000</v>
      </c>
      <c r="V565">
        <f t="shared" si="206"/>
        <v>31500</v>
      </c>
      <c r="Y565">
        <f t="shared" si="218"/>
        <v>31462</v>
      </c>
      <c r="Z565">
        <f t="shared" si="207"/>
        <v>31500</v>
      </c>
    </row>
    <row r="566" spans="1:26" x14ac:dyDescent="0.4">
      <c r="A566">
        <f t="shared" si="212"/>
        <v>33440</v>
      </c>
      <c r="B566">
        <f t="shared" si="205"/>
        <v>33500</v>
      </c>
      <c r="E566">
        <f t="shared" si="213"/>
        <v>33452</v>
      </c>
      <c r="F566">
        <f t="shared" si="208"/>
        <v>33500</v>
      </c>
      <c r="I566">
        <f t="shared" si="214"/>
        <v>33447</v>
      </c>
      <c r="J566">
        <f t="shared" si="209"/>
        <v>33500</v>
      </c>
      <c r="M566">
        <f t="shared" si="215"/>
        <v>33488</v>
      </c>
      <c r="N566">
        <f t="shared" si="210"/>
        <v>33500</v>
      </c>
      <c r="Q566">
        <f t="shared" si="216"/>
        <v>32920</v>
      </c>
      <c r="R566">
        <f t="shared" si="211"/>
        <v>33500</v>
      </c>
      <c r="U566">
        <f t="shared" si="217"/>
        <v>33000</v>
      </c>
      <c r="V566">
        <f t="shared" si="206"/>
        <v>33500</v>
      </c>
      <c r="Y566">
        <f t="shared" si="218"/>
        <v>33462</v>
      </c>
      <c r="Z566">
        <f t="shared" si="207"/>
        <v>33500</v>
      </c>
    </row>
    <row r="567" spans="1:26" x14ac:dyDescent="0.4">
      <c r="A567">
        <f t="shared" si="212"/>
        <v>35440</v>
      </c>
      <c r="B567">
        <f t="shared" si="205"/>
        <v>35500</v>
      </c>
      <c r="E567">
        <f t="shared" si="213"/>
        <v>35452</v>
      </c>
      <c r="F567">
        <f t="shared" si="208"/>
        <v>35500</v>
      </c>
      <c r="I567">
        <f t="shared" si="214"/>
        <v>35447</v>
      </c>
      <c r="J567">
        <f t="shared" si="209"/>
        <v>35500</v>
      </c>
      <c r="M567">
        <f t="shared" si="215"/>
        <v>35488</v>
      </c>
      <c r="N567">
        <f t="shared" si="210"/>
        <v>35500</v>
      </c>
      <c r="Q567">
        <f t="shared" si="216"/>
        <v>34920</v>
      </c>
      <c r="R567">
        <f t="shared" si="211"/>
        <v>35500</v>
      </c>
      <c r="U567">
        <f t="shared" si="217"/>
        <v>35000</v>
      </c>
      <c r="V567">
        <f t="shared" si="206"/>
        <v>35500</v>
      </c>
      <c r="Y567">
        <f t="shared" si="218"/>
        <v>35462</v>
      </c>
      <c r="Z567">
        <f t="shared" si="207"/>
        <v>35500</v>
      </c>
    </row>
    <row r="568" spans="1:26" x14ac:dyDescent="0.4">
      <c r="A568">
        <f t="shared" si="212"/>
        <v>37440</v>
      </c>
      <c r="B568">
        <f t="shared" si="205"/>
        <v>37500</v>
      </c>
      <c r="E568">
        <f t="shared" si="213"/>
        <v>37452</v>
      </c>
      <c r="F568">
        <f t="shared" si="208"/>
        <v>37500</v>
      </c>
      <c r="I568">
        <f t="shared" si="214"/>
        <v>37447</v>
      </c>
      <c r="J568">
        <f t="shared" si="209"/>
        <v>37500</v>
      </c>
      <c r="M568">
        <f t="shared" si="215"/>
        <v>37488</v>
      </c>
      <c r="N568">
        <f t="shared" si="210"/>
        <v>37500</v>
      </c>
      <c r="Q568">
        <f t="shared" si="216"/>
        <v>36920</v>
      </c>
      <c r="R568">
        <f t="shared" si="211"/>
        <v>37500</v>
      </c>
      <c r="U568">
        <f t="shared" si="217"/>
        <v>37000</v>
      </c>
      <c r="V568">
        <f t="shared" si="206"/>
        <v>37500</v>
      </c>
      <c r="Y568">
        <f t="shared" si="218"/>
        <v>37462</v>
      </c>
      <c r="Z568">
        <f t="shared" si="207"/>
        <v>37500</v>
      </c>
    </row>
    <row r="569" spans="1:26" x14ac:dyDescent="0.4">
      <c r="A569">
        <f t="shared" si="212"/>
        <v>39940</v>
      </c>
      <c r="B569">
        <f t="shared" si="205"/>
        <v>40000</v>
      </c>
      <c r="E569">
        <f t="shared" si="213"/>
        <v>39952</v>
      </c>
      <c r="F569">
        <f t="shared" si="208"/>
        <v>40000</v>
      </c>
      <c r="I569">
        <f t="shared" si="214"/>
        <v>39947</v>
      </c>
      <c r="J569">
        <f t="shared" si="209"/>
        <v>40000</v>
      </c>
      <c r="M569">
        <f t="shared" si="215"/>
        <v>39988</v>
      </c>
      <c r="N569">
        <f t="shared" si="210"/>
        <v>40000</v>
      </c>
      <c r="Q569">
        <f t="shared" si="216"/>
        <v>39420</v>
      </c>
      <c r="R569">
        <f t="shared" si="211"/>
        <v>40000</v>
      </c>
      <c r="U569">
        <f t="shared" si="217"/>
        <v>39500</v>
      </c>
      <c r="V569">
        <f t="shared" si="206"/>
        <v>40000</v>
      </c>
      <c r="Y569">
        <f t="shared" si="218"/>
        <v>39962</v>
      </c>
      <c r="Z569">
        <f t="shared" si="207"/>
        <v>40000</v>
      </c>
    </row>
    <row r="570" spans="1:26" x14ac:dyDescent="0.4">
      <c r="A570">
        <f t="shared" si="212"/>
        <v>42440</v>
      </c>
      <c r="B570">
        <f t="shared" si="205"/>
        <v>42500</v>
      </c>
      <c r="E570">
        <f t="shared" si="213"/>
        <v>42452</v>
      </c>
      <c r="F570">
        <f t="shared" si="208"/>
        <v>42500</v>
      </c>
      <c r="I570">
        <f t="shared" si="214"/>
        <v>42447</v>
      </c>
      <c r="J570">
        <f t="shared" si="209"/>
        <v>42500</v>
      </c>
      <c r="M570">
        <f t="shared" si="215"/>
        <v>42488</v>
      </c>
      <c r="N570">
        <f t="shared" si="210"/>
        <v>42500</v>
      </c>
      <c r="Q570">
        <f t="shared" si="216"/>
        <v>41920</v>
      </c>
      <c r="R570">
        <f t="shared" si="211"/>
        <v>42500</v>
      </c>
      <c r="U570">
        <f t="shared" si="217"/>
        <v>42000</v>
      </c>
      <c r="V570">
        <f t="shared" si="206"/>
        <v>42500</v>
      </c>
      <c r="Y570">
        <f t="shared" si="218"/>
        <v>42462</v>
      </c>
      <c r="Z570">
        <f t="shared" si="207"/>
        <v>42500</v>
      </c>
    </row>
    <row r="571" spans="1:26" x14ac:dyDescent="0.4">
      <c r="A571">
        <f t="shared" si="212"/>
        <v>44940</v>
      </c>
      <c r="B571">
        <f t="shared" si="205"/>
        <v>45000</v>
      </c>
      <c r="E571">
        <f t="shared" si="213"/>
        <v>44952</v>
      </c>
      <c r="F571">
        <f t="shared" si="208"/>
        <v>45000</v>
      </c>
      <c r="I571">
        <f t="shared" si="214"/>
        <v>44947</v>
      </c>
      <c r="J571">
        <f t="shared" si="209"/>
        <v>45000</v>
      </c>
      <c r="M571">
        <f t="shared" si="215"/>
        <v>44988</v>
      </c>
      <c r="N571">
        <f t="shared" si="210"/>
        <v>45000</v>
      </c>
      <c r="Q571">
        <f t="shared" si="216"/>
        <v>44420</v>
      </c>
      <c r="R571">
        <f t="shared" si="211"/>
        <v>45000</v>
      </c>
      <c r="U571">
        <f t="shared" si="217"/>
        <v>44500</v>
      </c>
      <c r="V571">
        <f t="shared" si="206"/>
        <v>45000</v>
      </c>
      <c r="Y571">
        <f t="shared" si="218"/>
        <v>44962</v>
      </c>
      <c r="Z571">
        <f t="shared" si="207"/>
        <v>45000</v>
      </c>
    </row>
    <row r="572" spans="1:26" x14ac:dyDescent="0.4">
      <c r="A572">
        <f t="shared" si="212"/>
        <v>47440</v>
      </c>
      <c r="B572">
        <f t="shared" si="205"/>
        <v>47500</v>
      </c>
      <c r="E572">
        <f t="shared" si="213"/>
        <v>47452</v>
      </c>
      <c r="F572">
        <f t="shared" si="208"/>
        <v>47500</v>
      </c>
      <c r="I572">
        <f t="shared" si="214"/>
        <v>47447</v>
      </c>
      <c r="J572">
        <f t="shared" si="209"/>
        <v>47500</v>
      </c>
      <c r="M572">
        <f t="shared" si="215"/>
        <v>47488</v>
      </c>
      <c r="N572">
        <f t="shared" si="210"/>
        <v>47500</v>
      </c>
      <c r="Q572">
        <f t="shared" si="216"/>
        <v>46920</v>
      </c>
      <c r="R572">
        <f t="shared" si="211"/>
        <v>47500</v>
      </c>
      <c r="U572">
        <f t="shared" si="217"/>
        <v>47000</v>
      </c>
      <c r="V572">
        <f t="shared" si="206"/>
        <v>47500</v>
      </c>
      <c r="Y572">
        <f t="shared" si="218"/>
        <v>47462</v>
      </c>
      <c r="Z572">
        <f t="shared" si="207"/>
        <v>47500</v>
      </c>
    </row>
    <row r="573" spans="1:26" x14ac:dyDescent="0.4">
      <c r="A573">
        <f t="shared" si="212"/>
        <v>49940</v>
      </c>
      <c r="B573">
        <f t="shared" si="205"/>
        <v>50000</v>
      </c>
      <c r="E573">
        <f t="shared" si="213"/>
        <v>49952</v>
      </c>
      <c r="F573">
        <f t="shared" si="208"/>
        <v>50000</v>
      </c>
      <c r="I573">
        <f t="shared" si="214"/>
        <v>49947</v>
      </c>
      <c r="J573">
        <f t="shared" si="209"/>
        <v>50000</v>
      </c>
      <c r="M573">
        <f t="shared" si="215"/>
        <v>49988</v>
      </c>
      <c r="N573">
        <f t="shared" si="210"/>
        <v>50000</v>
      </c>
      <c r="Q573">
        <f t="shared" si="216"/>
        <v>49420</v>
      </c>
      <c r="R573">
        <f t="shared" si="211"/>
        <v>50000</v>
      </c>
      <c r="U573">
        <f t="shared" si="217"/>
        <v>49500</v>
      </c>
      <c r="V573">
        <f t="shared" si="206"/>
        <v>50000</v>
      </c>
      <c r="Y573">
        <f t="shared" si="218"/>
        <v>49962</v>
      </c>
      <c r="Z573">
        <f t="shared" si="207"/>
        <v>50000</v>
      </c>
    </row>
    <row r="574" spans="1:26" x14ac:dyDescent="0.4">
      <c r="A574">
        <f t="shared" si="212"/>
        <v>52940.000000000007</v>
      </c>
      <c r="B574">
        <f t="shared" si="205"/>
        <v>53000.000000000007</v>
      </c>
      <c r="E574">
        <f t="shared" si="213"/>
        <v>52952.000000000007</v>
      </c>
      <c r="F574">
        <f t="shared" si="208"/>
        <v>53000.000000000007</v>
      </c>
      <c r="I574">
        <f t="shared" si="214"/>
        <v>52947.000000000007</v>
      </c>
      <c r="J574">
        <f t="shared" si="209"/>
        <v>53000.000000000007</v>
      </c>
      <c r="M574">
        <f t="shared" si="215"/>
        <v>52988.000000000007</v>
      </c>
      <c r="N574">
        <f t="shared" si="210"/>
        <v>53000.000000000007</v>
      </c>
      <c r="Q574">
        <f t="shared" si="216"/>
        <v>52420.000000000007</v>
      </c>
      <c r="R574">
        <f t="shared" si="211"/>
        <v>53000.000000000007</v>
      </c>
      <c r="U574">
        <f t="shared" si="217"/>
        <v>52500.000000000007</v>
      </c>
      <c r="V574">
        <f t="shared" si="206"/>
        <v>53000.000000000007</v>
      </c>
      <c r="Y574">
        <f t="shared" si="218"/>
        <v>52962.000000000007</v>
      </c>
      <c r="Z574">
        <f t="shared" si="207"/>
        <v>53000.000000000007</v>
      </c>
    </row>
    <row r="575" spans="1:26" x14ac:dyDescent="0.4">
      <c r="A575">
        <f t="shared" si="212"/>
        <v>55940</v>
      </c>
      <c r="B575">
        <f t="shared" si="205"/>
        <v>56000</v>
      </c>
      <c r="E575">
        <f t="shared" si="213"/>
        <v>55952</v>
      </c>
      <c r="F575">
        <f t="shared" si="208"/>
        <v>56000</v>
      </c>
      <c r="I575">
        <f t="shared" si="214"/>
        <v>55947</v>
      </c>
      <c r="J575">
        <f t="shared" si="209"/>
        <v>56000</v>
      </c>
      <c r="M575">
        <f t="shared" si="215"/>
        <v>55988</v>
      </c>
      <c r="N575">
        <f t="shared" si="210"/>
        <v>56000</v>
      </c>
      <c r="Q575">
        <f t="shared" si="216"/>
        <v>55420</v>
      </c>
      <c r="R575">
        <f t="shared" si="211"/>
        <v>56000</v>
      </c>
      <c r="U575">
        <f t="shared" si="217"/>
        <v>55500</v>
      </c>
      <c r="V575">
        <f t="shared" si="206"/>
        <v>56000</v>
      </c>
      <c r="Y575">
        <f t="shared" si="218"/>
        <v>55962</v>
      </c>
      <c r="Z575">
        <f t="shared" si="207"/>
        <v>56000</v>
      </c>
    </row>
    <row r="576" spans="1:26" x14ac:dyDescent="0.4">
      <c r="A576">
        <f t="shared" si="212"/>
        <v>59940</v>
      </c>
      <c r="B576">
        <f t="shared" si="205"/>
        <v>60000</v>
      </c>
      <c r="E576">
        <f t="shared" si="213"/>
        <v>59952</v>
      </c>
      <c r="F576">
        <f t="shared" si="208"/>
        <v>60000</v>
      </c>
      <c r="I576">
        <f t="shared" si="214"/>
        <v>59947</v>
      </c>
      <c r="J576">
        <f t="shared" si="209"/>
        <v>60000</v>
      </c>
      <c r="M576">
        <f t="shared" si="215"/>
        <v>59988</v>
      </c>
      <c r="N576">
        <f t="shared" si="210"/>
        <v>60000</v>
      </c>
      <c r="Q576">
        <f t="shared" si="216"/>
        <v>59420</v>
      </c>
      <c r="R576">
        <f t="shared" si="211"/>
        <v>60000</v>
      </c>
      <c r="U576">
        <f t="shared" si="217"/>
        <v>59500</v>
      </c>
      <c r="V576">
        <f t="shared" si="206"/>
        <v>60000</v>
      </c>
      <c r="Y576">
        <f t="shared" si="218"/>
        <v>59962</v>
      </c>
      <c r="Z576">
        <f t="shared" si="207"/>
        <v>60000</v>
      </c>
    </row>
    <row r="577" spans="1:26" x14ac:dyDescent="0.4">
      <c r="A577">
        <f t="shared" si="212"/>
        <v>62940</v>
      </c>
      <c r="B577">
        <f t="shared" si="205"/>
        <v>63000</v>
      </c>
      <c r="E577">
        <f t="shared" si="213"/>
        <v>62952</v>
      </c>
      <c r="F577">
        <f t="shared" si="208"/>
        <v>63000</v>
      </c>
      <c r="I577">
        <f t="shared" si="214"/>
        <v>62947</v>
      </c>
      <c r="J577">
        <f t="shared" si="209"/>
        <v>63000</v>
      </c>
      <c r="M577">
        <f t="shared" si="215"/>
        <v>62988</v>
      </c>
      <c r="N577">
        <f t="shared" si="210"/>
        <v>63000</v>
      </c>
      <c r="Q577">
        <f t="shared" si="216"/>
        <v>62420</v>
      </c>
      <c r="R577">
        <f t="shared" si="211"/>
        <v>63000</v>
      </c>
      <c r="U577">
        <f t="shared" si="217"/>
        <v>62500</v>
      </c>
      <c r="V577">
        <f t="shared" si="206"/>
        <v>63000</v>
      </c>
      <c r="Y577">
        <f t="shared" si="218"/>
        <v>62962</v>
      </c>
      <c r="Z577">
        <f t="shared" si="207"/>
        <v>63000</v>
      </c>
    </row>
    <row r="578" spans="1:26" x14ac:dyDescent="0.4">
      <c r="A578">
        <f t="shared" si="212"/>
        <v>66940</v>
      </c>
      <c r="B578">
        <f t="shared" ref="B578:B625" si="219">B538*10</f>
        <v>67000</v>
      </c>
      <c r="E578">
        <f t="shared" si="213"/>
        <v>66952</v>
      </c>
      <c r="F578">
        <f t="shared" si="208"/>
        <v>67000</v>
      </c>
      <c r="I578">
        <f t="shared" si="214"/>
        <v>66947</v>
      </c>
      <c r="J578">
        <f t="shared" si="209"/>
        <v>67000</v>
      </c>
      <c r="M578">
        <f t="shared" si="215"/>
        <v>66988</v>
      </c>
      <c r="N578">
        <f t="shared" si="210"/>
        <v>67000</v>
      </c>
      <c r="Q578">
        <f t="shared" si="216"/>
        <v>66420</v>
      </c>
      <c r="R578">
        <f t="shared" si="211"/>
        <v>67000</v>
      </c>
      <c r="U578">
        <f t="shared" si="217"/>
        <v>66500</v>
      </c>
      <c r="V578">
        <f t="shared" si="206"/>
        <v>67000</v>
      </c>
      <c r="Y578">
        <f t="shared" si="218"/>
        <v>66962</v>
      </c>
      <c r="Z578">
        <f t="shared" si="207"/>
        <v>67000</v>
      </c>
    </row>
    <row r="579" spans="1:26" x14ac:dyDescent="0.4">
      <c r="A579">
        <f t="shared" si="212"/>
        <v>70940</v>
      </c>
      <c r="B579">
        <f t="shared" si="219"/>
        <v>71000</v>
      </c>
      <c r="E579">
        <f t="shared" si="213"/>
        <v>70952</v>
      </c>
      <c r="F579">
        <f t="shared" si="208"/>
        <v>71000</v>
      </c>
      <c r="I579">
        <f t="shared" si="214"/>
        <v>70947</v>
      </c>
      <c r="J579">
        <f t="shared" si="209"/>
        <v>71000</v>
      </c>
      <c r="M579">
        <f t="shared" si="215"/>
        <v>70988</v>
      </c>
      <c r="N579">
        <f t="shared" si="210"/>
        <v>71000</v>
      </c>
      <c r="Q579">
        <f t="shared" si="216"/>
        <v>70420</v>
      </c>
      <c r="R579">
        <f t="shared" si="211"/>
        <v>71000</v>
      </c>
      <c r="U579">
        <f t="shared" si="217"/>
        <v>70500</v>
      </c>
      <c r="V579">
        <f t="shared" si="206"/>
        <v>71000</v>
      </c>
      <c r="Y579">
        <f t="shared" si="218"/>
        <v>70962</v>
      </c>
      <c r="Z579">
        <f t="shared" si="207"/>
        <v>71000</v>
      </c>
    </row>
    <row r="580" spans="1:26" x14ac:dyDescent="0.4">
      <c r="A580">
        <f t="shared" si="212"/>
        <v>74940</v>
      </c>
      <c r="B580">
        <f t="shared" si="219"/>
        <v>75000</v>
      </c>
      <c r="E580">
        <f t="shared" si="213"/>
        <v>74952</v>
      </c>
      <c r="F580">
        <f t="shared" si="208"/>
        <v>75000</v>
      </c>
      <c r="I580">
        <f t="shared" si="214"/>
        <v>74947</v>
      </c>
      <c r="J580">
        <f t="shared" si="209"/>
        <v>75000</v>
      </c>
      <c r="M580">
        <f t="shared" si="215"/>
        <v>74988</v>
      </c>
      <c r="N580">
        <f t="shared" si="210"/>
        <v>75000</v>
      </c>
      <c r="Q580">
        <f t="shared" si="216"/>
        <v>74420</v>
      </c>
      <c r="R580">
        <f t="shared" si="211"/>
        <v>75000</v>
      </c>
      <c r="U580">
        <f t="shared" si="217"/>
        <v>74500</v>
      </c>
      <c r="V580">
        <f t="shared" si="206"/>
        <v>75000</v>
      </c>
      <c r="Y580">
        <f t="shared" si="218"/>
        <v>74962</v>
      </c>
      <c r="Z580">
        <f t="shared" si="207"/>
        <v>75000</v>
      </c>
    </row>
    <row r="581" spans="1:26" x14ac:dyDescent="0.4">
      <c r="A581">
        <f t="shared" si="212"/>
        <v>79940</v>
      </c>
      <c r="B581">
        <f t="shared" si="219"/>
        <v>80000</v>
      </c>
      <c r="E581">
        <f t="shared" si="213"/>
        <v>79952</v>
      </c>
      <c r="F581">
        <f t="shared" si="208"/>
        <v>80000</v>
      </c>
      <c r="I581">
        <f t="shared" si="214"/>
        <v>79947</v>
      </c>
      <c r="J581">
        <f t="shared" si="209"/>
        <v>80000</v>
      </c>
      <c r="M581">
        <f t="shared" si="215"/>
        <v>79988</v>
      </c>
      <c r="N581">
        <f t="shared" si="210"/>
        <v>80000</v>
      </c>
      <c r="Q581">
        <f t="shared" si="216"/>
        <v>79420</v>
      </c>
      <c r="R581">
        <f t="shared" si="211"/>
        <v>80000</v>
      </c>
      <c r="U581">
        <f t="shared" si="217"/>
        <v>79500</v>
      </c>
      <c r="V581">
        <f t="shared" si="206"/>
        <v>80000</v>
      </c>
      <c r="Y581">
        <f t="shared" si="218"/>
        <v>79962</v>
      </c>
      <c r="Z581">
        <f t="shared" si="207"/>
        <v>80000</v>
      </c>
    </row>
    <row r="582" spans="1:26" x14ac:dyDescent="0.4">
      <c r="A582">
        <f t="shared" si="212"/>
        <v>84940</v>
      </c>
      <c r="B582">
        <f t="shared" si="219"/>
        <v>85000</v>
      </c>
      <c r="E582">
        <f t="shared" si="213"/>
        <v>84952</v>
      </c>
      <c r="F582">
        <f t="shared" si="208"/>
        <v>85000</v>
      </c>
      <c r="I582">
        <f t="shared" si="214"/>
        <v>84947</v>
      </c>
      <c r="J582">
        <f t="shared" si="209"/>
        <v>85000</v>
      </c>
      <c r="M582">
        <f t="shared" si="215"/>
        <v>84988</v>
      </c>
      <c r="N582">
        <f t="shared" si="210"/>
        <v>85000</v>
      </c>
      <c r="Q582">
        <f t="shared" si="216"/>
        <v>84420</v>
      </c>
      <c r="R582">
        <f t="shared" si="211"/>
        <v>85000</v>
      </c>
      <c r="U582">
        <f t="shared" si="217"/>
        <v>84500</v>
      </c>
      <c r="V582">
        <f t="shared" si="206"/>
        <v>85000</v>
      </c>
      <c r="Y582">
        <f t="shared" si="218"/>
        <v>84962</v>
      </c>
      <c r="Z582">
        <f t="shared" si="207"/>
        <v>85000</v>
      </c>
    </row>
    <row r="583" spans="1:26" x14ac:dyDescent="0.4">
      <c r="A583">
        <f t="shared" si="212"/>
        <v>89940</v>
      </c>
      <c r="B583">
        <f t="shared" si="219"/>
        <v>90000</v>
      </c>
      <c r="E583">
        <f t="shared" si="213"/>
        <v>89952</v>
      </c>
      <c r="F583">
        <f t="shared" si="208"/>
        <v>90000</v>
      </c>
      <c r="I583">
        <f t="shared" si="214"/>
        <v>89947</v>
      </c>
      <c r="J583">
        <f t="shared" si="209"/>
        <v>90000</v>
      </c>
      <c r="M583">
        <f t="shared" si="215"/>
        <v>89988</v>
      </c>
      <c r="N583">
        <f t="shared" si="210"/>
        <v>90000</v>
      </c>
      <c r="Q583">
        <f t="shared" si="216"/>
        <v>89420</v>
      </c>
      <c r="R583">
        <f t="shared" si="211"/>
        <v>90000</v>
      </c>
      <c r="U583">
        <f t="shared" si="217"/>
        <v>89500</v>
      </c>
      <c r="V583">
        <f t="shared" si="206"/>
        <v>90000</v>
      </c>
      <c r="Y583">
        <f t="shared" si="218"/>
        <v>89962</v>
      </c>
      <c r="Z583">
        <f t="shared" si="207"/>
        <v>90000</v>
      </c>
    </row>
    <row r="584" spans="1:26" x14ac:dyDescent="0.4">
      <c r="A584">
        <f t="shared" si="212"/>
        <v>94940</v>
      </c>
      <c r="B584">
        <f t="shared" si="219"/>
        <v>95000</v>
      </c>
      <c r="E584">
        <f t="shared" si="213"/>
        <v>94952</v>
      </c>
      <c r="F584">
        <f t="shared" si="208"/>
        <v>95000</v>
      </c>
      <c r="I584">
        <f t="shared" si="214"/>
        <v>94947</v>
      </c>
      <c r="J584">
        <f t="shared" si="209"/>
        <v>95000</v>
      </c>
      <c r="M584">
        <f t="shared" si="215"/>
        <v>94988</v>
      </c>
      <c r="N584">
        <f t="shared" si="210"/>
        <v>95000</v>
      </c>
      <c r="Q584">
        <f t="shared" si="216"/>
        <v>94420</v>
      </c>
      <c r="R584">
        <f t="shared" si="211"/>
        <v>95000</v>
      </c>
      <c r="U584">
        <f t="shared" si="217"/>
        <v>94500</v>
      </c>
      <c r="V584">
        <f t="shared" si="206"/>
        <v>95000</v>
      </c>
      <c r="Y584">
        <f t="shared" si="218"/>
        <v>94962</v>
      </c>
      <c r="Z584">
        <f t="shared" si="207"/>
        <v>95000</v>
      </c>
    </row>
    <row r="585" spans="1:26" x14ac:dyDescent="0.4">
      <c r="A585">
        <f t="shared" si="212"/>
        <v>99940</v>
      </c>
      <c r="B585">
        <f t="shared" si="219"/>
        <v>100000</v>
      </c>
      <c r="E585">
        <f t="shared" si="213"/>
        <v>99952</v>
      </c>
      <c r="F585">
        <f t="shared" si="208"/>
        <v>100000</v>
      </c>
      <c r="I585">
        <f t="shared" si="214"/>
        <v>99947</v>
      </c>
      <c r="J585">
        <f t="shared" si="209"/>
        <v>100000</v>
      </c>
      <c r="M585">
        <f t="shared" si="215"/>
        <v>99988</v>
      </c>
      <c r="N585">
        <f t="shared" si="210"/>
        <v>100000</v>
      </c>
      <c r="Q585">
        <f t="shared" si="216"/>
        <v>99420</v>
      </c>
      <c r="R585">
        <f t="shared" si="211"/>
        <v>100000</v>
      </c>
      <c r="U585">
        <f t="shared" si="217"/>
        <v>99500</v>
      </c>
      <c r="V585">
        <f t="shared" si="206"/>
        <v>100000</v>
      </c>
      <c r="Y585">
        <f t="shared" si="218"/>
        <v>99962</v>
      </c>
      <c r="Z585">
        <f t="shared" si="207"/>
        <v>100000</v>
      </c>
    </row>
    <row r="586" spans="1:26" x14ac:dyDescent="0.4">
      <c r="A586">
        <f t="shared" si="212"/>
        <v>105940.00000000001</v>
      </c>
      <c r="B586">
        <f t="shared" si="219"/>
        <v>106000.00000000001</v>
      </c>
      <c r="E586">
        <f t="shared" si="213"/>
        <v>105952.00000000001</v>
      </c>
      <c r="F586">
        <f t="shared" si="208"/>
        <v>106000.00000000001</v>
      </c>
      <c r="I586">
        <f t="shared" si="214"/>
        <v>105947.00000000001</v>
      </c>
      <c r="J586">
        <f t="shared" si="209"/>
        <v>106000.00000000001</v>
      </c>
      <c r="M586">
        <f t="shared" si="215"/>
        <v>105988.00000000001</v>
      </c>
      <c r="N586">
        <f t="shared" si="210"/>
        <v>106000.00000000001</v>
      </c>
      <c r="Q586">
        <f t="shared" si="216"/>
        <v>105420.00000000001</v>
      </c>
      <c r="R586">
        <f t="shared" si="211"/>
        <v>106000.00000000001</v>
      </c>
      <c r="U586">
        <f t="shared" si="217"/>
        <v>105500.00000000001</v>
      </c>
      <c r="V586">
        <f t="shared" si="206"/>
        <v>106000.00000000001</v>
      </c>
      <c r="Y586">
        <f t="shared" si="218"/>
        <v>105962.00000000001</v>
      </c>
      <c r="Z586">
        <f t="shared" si="207"/>
        <v>106000.00000000001</v>
      </c>
    </row>
    <row r="587" spans="1:26" x14ac:dyDescent="0.4">
      <c r="A587">
        <f t="shared" si="212"/>
        <v>111940.00000000001</v>
      </c>
      <c r="B587">
        <f t="shared" si="219"/>
        <v>112000.00000000001</v>
      </c>
      <c r="E587">
        <f t="shared" si="213"/>
        <v>111952.00000000001</v>
      </c>
      <c r="F587">
        <f t="shared" si="208"/>
        <v>112000.00000000001</v>
      </c>
      <c r="I587">
        <f t="shared" si="214"/>
        <v>111947.00000000001</v>
      </c>
      <c r="J587">
        <f t="shared" si="209"/>
        <v>112000.00000000001</v>
      </c>
      <c r="M587">
        <f t="shared" si="215"/>
        <v>111988.00000000001</v>
      </c>
      <c r="N587">
        <f t="shared" si="210"/>
        <v>112000.00000000001</v>
      </c>
      <c r="Q587">
        <f t="shared" si="216"/>
        <v>111420.00000000001</v>
      </c>
      <c r="R587">
        <f t="shared" si="211"/>
        <v>112000.00000000001</v>
      </c>
      <c r="U587">
        <f t="shared" si="217"/>
        <v>111500.00000000001</v>
      </c>
      <c r="V587">
        <f t="shared" si="206"/>
        <v>112000.00000000001</v>
      </c>
      <c r="Y587">
        <f t="shared" si="218"/>
        <v>111962.00000000001</v>
      </c>
      <c r="Z587">
        <f t="shared" si="207"/>
        <v>112000.00000000001</v>
      </c>
    </row>
    <row r="588" spans="1:26" x14ac:dyDescent="0.4">
      <c r="A588">
        <f t="shared" si="212"/>
        <v>117939.99999999999</v>
      </c>
      <c r="B588">
        <f t="shared" si="219"/>
        <v>117999.99999999999</v>
      </c>
      <c r="E588">
        <f t="shared" si="213"/>
        <v>117951.99999999999</v>
      </c>
      <c r="F588">
        <f t="shared" si="208"/>
        <v>117999.99999999999</v>
      </c>
      <c r="I588">
        <f t="shared" si="214"/>
        <v>117946.99999999999</v>
      </c>
      <c r="J588">
        <f t="shared" si="209"/>
        <v>117999.99999999999</v>
      </c>
      <c r="M588">
        <f t="shared" si="215"/>
        <v>117987.99999999999</v>
      </c>
      <c r="N588">
        <f t="shared" si="210"/>
        <v>117999.99999999999</v>
      </c>
      <c r="Q588">
        <f t="shared" si="216"/>
        <v>117419.99999999999</v>
      </c>
      <c r="R588">
        <f t="shared" si="211"/>
        <v>117999.99999999999</v>
      </c>
      <c r="U588">
        <f t="shared" si="217"/>
        <v>117499.99999999999</v>
      </c>
      <c r="V588">
        <f t="shared" si="206"/>
        <v>117999.99999999999</v>
      </c>
      <c r="Y588">
        <f t="shared" si="218"/>
        <v>117961.99999999999</v>
      </c>
      <c r="Z588">
        <f t="shared" si="207"/>
        <v>117999.99999999999</v>
      </c>
    </row>
    <row r="589" spans="1:26" x14ac:dyDescent="0.4">
      <c r="A589">
        <f t="shared" si="212"/>
        <v>124940</v>
      </c>
      <c r="B589">
        <f t="shared" si="219"/>
        <v>125000</v>
      </c>
      <c r="E589">
        <f t="shared" si="213"/>
        <v>124952</v>
      </c>
      <c r="F589">
        <f t="shared" si="208"/>
        <v>125000</v>
      </c>
      <c r="I589">
        <f t="shared" si="214"/>
        <v>124947</v>
      </c>
      <c r="J589">
        <f t="shared" si="209"/>
        <v>125000</v>
      </c>
      <c r="M589">
        <f t="shared" si="215"/>
        <v>124988</v>
      </c>
      <c r="N589">
        <f t="shared" si="210"/>
        <v>125000</v>
      </c>
      <c r="Q589">
        <f t="shared" si="216"/>
        <v>124420</v>
      </c>
      <c r="R589">
        <f t="shared" si="211"/>
        <v>125000</v>
      </c>
      <c r="U589">
        <f t="shared" si="217"/>
        <v>124500</v>
      </c>
      <c r="V589">
        <f t="shared" si="206"/>
        <v>125000</v>
      </c>
      <c r="Y589">
        <f t="shared" si="218"/>
        <v>124962</v>
      </c>
      <c r="Z589">
        <f t="shared" si="207"/>
        <v>125000</v>
      </c>
    </row>
    <row r="590" spans="1:26" x14ac:dyDescent="0.4">
      <c r="A590">
        <f t="shared" si="212"/>
        <v>131940</v>
      </c>
      <c r="B590">
        <f t="shared" si="219"/>
        <v>132000</v>
      </c>
      <c r="E590">
        <f t="shared" si="213"/>
        <v>131952</v>
      </c>
      <c r="F590">
        <f t="shared" si="208"/>
        <v>132000</v>
      </c>
      <c r="I590">
        <f t="shared" si="214"/>
        <v>131947</v>
      </c>
      <c r="J590">
        <f t="shared" si="209"/>
        <v>132000</v>
      </c>
      <c r="M590">
        <f t="shared" si="215"/>
        <v>131988</v>
      </c>
      <c r="N590">
        <f t="shared" si="210"/>
        <v>132000</v>
      </c>
      <c r="Q590">
        <f t="shared" si="216"/>
        <v>131420</v>
      </c>
      <c r="R590">
        <f t="shared" si="211"/>
        <v>132000</v>
      </c>
      <c r="U590">
        <f t="shared" si="217"/>
        <v>131500</v>
      </c>
      <c r="V590">
        <f t="shared" si="206"/>
        <v>132000</v>
      </c>
      <c r="Y590">
        <f t="shared" si="218"/>
        <v>131962</v>
      </c>
      <c r="Z590">
        <f t="shared" si="207"/>
        <v>132000</v>
      </c>
    </row>
    <row r="591" spans="1:26" x14ac:dyDescent="0.4">
      <c r="A591">
        <f t="shared" si="212"/>
        <v>139940</v>
      </c>
      <c r="B591">
        <f t="shared" si="219"/>
        <v>140000</v>
      </c>
      <c r="E591">
        <f t="shared" si="213"/>
        <v>139952</v>
      </c>
      <c r="F591">
        <f t="shared" si="208"/>
        <v>140000</v>
      </c>
      <c r="I591">
        <f t="shared" si="214"/>
        <v>139947</v>
      </c>
      <c r="J591">
        <f t="shared" si="209"/>
        <v>140000</v>
      </c>
      <c r="M591">
        <f t="shared" si="215"/>
        <v>139988</v>
      </c>
      <c r="N591">
        <f t="shared" si="210"/>
        <v>140000</v>
      </c>
      <c r="Q591">
        <f t="shared" si="216"/>
        <v>139420</v>
      </c>
      <c r="R591">
        <f t="shared" si="211"/>
        <v>140000</v>
      </c>
      <c r="U591">
        <f t="shared" si="217"/>
        <v>139500</v>
      </c>
      <c r="V591">
        <f t="shared" si="206"/>
        <v>140000</v>
      </c>
      <c r="Y591">
        <f t="shared" si="218"/>
        <v>139962</v>
      </c>
      <c r="Z591">
        <f t="shared" si="207"/>
        <v>140000</v>
      </c>
    </row>
    <row r="592" spans="1:26" x14ac:dyDescent="0.4">
      <c r="A592">
        <f t="shared" si="212"/>
        <v>149940</v>
      </c>
      <c r="B592">
        <f t="shared" si="219"/>
        <v>150000</v>
      </c>
      <c r="E592">
        <f t="shared" si="213"/>
        <v>149952</v>
      </c>
      <c r="F592">
        <f t="shared" si="208"/>
        <v>150000</v>
      </c>
      <c r="I592">
        <f t="shared" si="214"/>
        <v>149947</v>
      </c>
      <c r="J592">
        <f t="shared" si="209"/>
        <v>150000</v>
      </c>
      <c r="M592">
        <f t="shared" si="215"/>
        <v>149988</v>
      </c>
      <c r="N592">
        <f t="shared" si="210"/>
        <v>150000</v>
      </c>
      <c r="Q592">
        <f t="shared" si="216"/>
        <v>149420</v>
      </c>
      <c r="R592">
        <f t="shared" si="211"/>
        <v>150000</v>
      </c>
      <c r="U592">
        <f t="shared" si="217"/>
        <v>149500</v>
      </c>
      <c r="V592">
        <f t="shared" si="206"/>
        <v>150000</v>
      </c>
      <c r="Y592">
        <f t="shared" si="218"/>
        <v>149962</v>
      </c>
      <c r="Z592">
        <f t="shared" si="207"/>
        <v>150000</v>
      </c>
    </row>
    <row r="593" spans="1:26" x14ac:dyDescent="0.4">
      <c r="A593">
        <f t="shared" si="212"/>
        <v>159940</v>
      </c>
      <c r="B593">
        <f t="shared" si="219"/>
        <v>160000</v>
      </c>
      <c r="E593">
        <f t="shared" si="213"/>
        <v>159952</v>
      </c>
      <c r="F593">
        <f t="shared" si="208"/>
        <v>160000</v>
      </c>
      <c r="I593">
        <f t="shared" si="214"/>
        <v>159947</v>
      </c>
      <c r="J593">
        <f t="shared" si="209"/>
        <v>160000</v>
      </c>
      <c r="M593">
        <f t="shared" si="215"/>
        <v>159988</v>
      </c>
      <c r="N593">
        <f t="shared" si="210"/>
        <v>160000</v>
      </c>
      <c r="Q593">
        <f t="shared" si="216"/>
        <v>159420</v>
      </c>
      <c r="R593">
        <f t="shared" si="211"/>
        <v>160000</v>
      </c>
      <c r="U593">
        <f t="shared" si="217"/>
        <v>159500</v>
      </c>
      <c r="V593">
        <f t="shared" si="206"/>
        <v>160000</v>
      </c>
      <c r="Y593">
        <f t="shared" si="218"/>
        <v>159962</v>
      </c>
      <c r="Z593">
        <f t="shared" si="207"/>
        <v>160000</v>
      </c>
    </row>
    <row r="594" spans="1:26" x14ac:dyDescent="0.4">
      <c r="A594">
        <f t="shared" si="212"/>
        <v>169939.99999999997</v>
      </c>
      <c r="B594">
        <f t="shared" si="219"/>
        <v>169999.99999999997</v>
      </c>
      <c r="E594">
        <f t="shared" si="213"/>
        <v>169951.99999999997</v>
      </c>
      <c r="F594">
        <f t="shared" si="208"/>
        <v>169999.99999999997</v>
      </c>
      <c r="I594">
        <f t="shared" si="214"/>
        <v>169946.99999999997</v>
      </c>
      <c r="J594">
        <f t="shared" si="209"/>
        <v>169999.99999999997</v>
      </c>
      <c r="M594">
        <f t="shared" si="215"/>
        <v>169987.99999999997</v>
      </c>
      <c r="N594">
        <f t="shared" si="210"/>
        <v>169999.99999999997</v>
      </c>
      <c r="Q594">
        <f t="shared" si="216"/>
        <v>169419.99999999997</v>
      </c>
      <c r="R594">
        <f t="shared" si="211"/>
        <v>169999.99999999997</v>
      </c>
      <c r="U594">
        <f t="shared" si="217"/>
        <v>169499.99999999997</v>
      </c>
      <c r="V594">
        <f t="shared" si="206"/>
        <v>169999.99999999997</v>
      </c>
      <c r="Y594">
        <f t="shared" si="218"/>
        <v>169961.99999999997</v>
      </c>
      <c r="Z594">
        <f t="shared" si="207"/>
        <v>169999.99999999997</v>
      </c>
    </row>
    <row r="595" spans="1:26" x14ac:dyDescent="0.4">
      <c r="A595">
        <f t="shared" si="212"/>
        <v>179940</v>
      </c>
      <c r="B595">
        <f t="shared" si="219"/>
        <v>180000</v>
      </c>
      <c r="E595">
        <f t="shared" si="213"/>
        <v>179952</v>
      </c>
      <c r="F595">
        <f t="shared" si="208"/>
        <v>180000</v>
      </c>
      <c r="I595">
        <f t="shared" si="214"/>
        <v>179947</v>
      </c>
      <c r="J595">
        <f t="shared" si="209"/>
        <v>180000</v>
      </c>
      <c r="M595">
        <f t="shared" si="215"/>
        <v>179988</v>
      </c>
      <c r="N595">
        <f t="shared" si="210"/>
        <v>180000</v>
      </c>
      <c r="Q595">
        <f t="shared" si="216"/>
        <v>179420</v>
      </c>
      <c r="R595">
        <f t="shared" si="211"/>
        <v>180000</v>
      </c>
      <c r="U595">
        <f t="shared" si="217"/>
        <v>179500</v>
      </c>
      <c r="V595">
        <f t="shared" si="206"/>
        <v>180000</v>
      </c>
      <c r="Y595">
        <f t="shared" si="218"/>
        <v>179962</v>
      </c>
      <c r="Z595">
        <f t="shared" si="207"/>
        <v>180000</v>
      </c>
    </row>
    <row r="596" spans="1:26" x14ac:dyDescent="0.4">
      <c r="A596">
        <f t="shared" si="212"/>
        <v>189940</v>
      </c>
      <c r="B596">
        <f t="shared" si="219"/>
        <v>190000</v>
      </c>
      <c r="E596">
        <f t="shared" si="213"/>
        <v>189952</v>
      </c>
      <c r="F596">
        <f t="shared" si="208"/>
        <v>190000</v>
      </c>
      <c r="I596">
        <f t="shared" si="214"/>
        <v>189947</v>
      </c>
      <c r="J596">
        <f t="shared" si="209"/>
        <v>190000</v>
      </c>
      <c r="M596">
        <f t="shared" si="215"/>
        <v>189988</v>
      </c>
      <c r="N596">
        <f t="shared" si="210"/>
        <v>190000</v>
      </c>
      <c r="Q596">
        <f t="shared" si="216"/>
        <v>189420</v>
      </c>
      <c r="R596">
        <f t="shared" si="211"/>
        <v>190000</v>
      </c>
      <c r="U596">
        <f t="shared" si="217"/>
        <v>189500</v>
      </c>
      <c r="V596">
        <f t="shared" si="206"/>
        <v>190000</v>
      </c>
      <c r="Y596">
        <f t="shared" si="218"/>
        <v>189962</v>
      </c>
      <c r="Z596">
        <f t="shared" si="207"/>
        <v>190000</v>
      </c>
    </row>
    <row r="597" spans="1:26" x14ac:dyDescent="0.4">
      <c r="A597">
        <f t="shared" si="212"/>
        <v>199940</v>
      </c>
      <c r="B597">
        <f t="shared" si="219"/>
        <v>200000</v>
      </c>
      <c r="E597">
        <f t="shared" si="213"/>
        <v>199952</v>
      </c>
      <c r="F597">
        <f t="shared" si="208"/>
        <v>200000</v>
      </c>
      <c r="I597">
        <f t="shared" si="214"/>
        <v>199947</v>
      </c>
      <c r="J597">
        <f t="shared" si="209"/>
        <v>200000</v>
      </c>
      <c r="M597">
        <f t="shared" si="215"/>
        <v>199988</v>
      </c>
      <c r="N597">
        <f t="shared" si="210"/>
        <v>200000</v>
      </c>
      <c r="Q597">
        <f t="shared" si="216"/>
        <v>199420</v>
      </c>
      <c r="R597">
        <f t="shared" si="211"/>
        <v>200000</v>
      </c>
      <c r="U597">
        <f t="shared" si="217"/>
        <v>199500</v>
      </c>
      <c r="V597">
        <f t="shared" si="206"/>
        <v>200000</v>
      </c>
      <c r="Y597">
        <f t="shared" si="218"/>
        <v>199962</v>
      </c>
      <c r="Z597">
        <f t="shared" si="207"/>
        <v>200000</v>
      </c>
    </row>
    <row r="598" spans="1:26" x14ac:dyDescent="0.4">
      <c r="A598">
        <f t="shared" si="212"/>
        <v>211940.00000000003</v>
      </c>
      <c r="B598">
        <f t="shared" si="219"/>
        <v>212000.00000000003</v>
      </c>
      <c r="E598">
        <f t="shared" si="213"/>
        <v>211952.00000000003</v>
      </c>
      <c r="F598">
        <f t="shared" si="208"/>
        <v>212000.00000000003</v>
      </c>
      <c r="I598">
        <f t="shared" si="214"/>
        <v>211947.00000000003</v>
      </c>
      <c r="J598">
        <f t="shared" si="209"/>
        <v>212000.00000000003</v>
      </c>
      <c r="M598">
        <f t="shared" si="215"/>
        <v>211988.00000000003</v>
      </c>
      <c r="N598">
        <f t="shared" si="210"/>
        <v>212000.00000000003</v>
      </c>
      <c r="Q598">
        <f t="shared" si="216"/>
        <v>211420.00000000003</v>
      </c>
      <c r="R598">
        <f t="shared" si="211"/>
        <v>212000.00000000003</v>
      </c>
      <c r="U598">
        <f t="shared" si="217"/>
        <v>211500.00000000003</v>
      </c>
      <c r="V598">
        <f t="shared" si="206"/>
        <v>212000.00000000003</v>
      </c>
      <c r="Y598">
        <f t="shared" si="218"/>
        <v>211962.00000000003</v>
      </c>
      <c r="Z598">
        <f t="shared" si="207"/>
        <v>212000.00000000003</v>
      </c>
    </row>
    <row r="599" spans="1:26" x14ac:dyDescent="0.4">
      <c r="A599">
        <f t="shared" si="212"/>
        <v>223940.00000000003</v>
      </c>
      <c r="B599">
        <f t="shared" si="219"/>
        <v>224000.00000000003</v>
      </c>
      <c r="E599">
        <f t="shared" si="213"/>
        <v>223952.00000000003</v>
      </c>
      <c r="F599">
        <f t="shared" si="208"/>
        <v>224000.00000000003</v>
      </c>
      <c r="I599">
        <f t="shared" si="214"/>
        <v>223947.00000000003</v>
      </c>
      <c r="J599">
        <f t="shared" si="209"/>
        <v>224000.00000000003</v>
      </c>
      <c r="M599">
        <f t="shared" si="215"/>
        <v>223988.00000000003</v>
      </c>
      <c r="N599">
        <f t="shared" si="210"/>
        <v>224000.00000000003</v>
      </c>
      <c r="Q599">
        <f t="shared" si="216"/>
        <v>223420.00000000003</v>
      </c>
      <c r="R599">
        <f t="shared" si="211"/>
        <v>224000.00000000003</v>
      </c>
      <c r="U599">
        <f t="shared" si="217"/>
        <v>223500.00000000003</v>
      </c>
      <c r="V599">
        <f t="shared" si="206"/>
        <v>224000.00000000003</v>
      </c>
      <c r="Y599">
        <f t="shared" si="218"/>
        <v>223962.00000000003</v>
      </c>
      <c r="Z599">
        <f t="shared" si="207"/>
        <v>224000.00000000003</v>
      </c>
    </row>
    <row r="600" spans="1:26" x14ac:dyDescent="0.4">
      <c r="A600">
        <f t="shared" si="212"/>
        <v>235939.99999999997</v>
      </c>
      <c r="B600">
        <f t="shared" si="219"/>
        <v>235999.99999999997</v>
      </c>
      <c r="E600">
        <f t="shared" si="213"/>
        <v>235951.99999999997</v>
      </c>
      <c r="F600">
        <f t="shared" si="208"/>
        <v>235999.99999999997</v>
      </c>
      <c r="I600">
        <f t="shared" si="214"/>
        <v>235946.99999999997</v>
      </c>
      <c r="J600">
        <f t="shared" si="209"/>
        <v>235999.99999999997</v>
      </c>
      <c r="M600">
        <f t="shared" si="215"/>
        <v>235987.99999999997</v>
      </c>
      <c r="N600">
        <f t="shared" si="210"/>
        <v>235999.99999999997</v>
      </c>
      <c r="Q600">
        <f t="shared" si="216"/>
        <v>235419.99999999997</v>
      </c>
      <c r="R600">
        <f t="shared" si="211"/>
        <v>235999.99999999997</v>
      </c>
      <c r="U600">
        <f t="shared" si="217"/>
        <v>235499.99999999997</v>
      </c>
      <c r="V600">
        <f t="shared" ref="V600:V625" si="220">R600</f>
        <v>235999.99999999997</v>
      </c>
      <c r="Y600">
        <f t="shared" si="218"/>
        <v>235961.99999999997</v>
      </c>
      <c r="Z600">
        <f t="shared" ref="Z600:Z625" si="221">V600</f>
        <v>235999.99999999997</v>
      </c>
    </row>
    <row r="601" spans="1:26" x14ac:dyDescent="0.4">
      <c r="A601">
        <f t="shared" si="212"/>
        <v>249940</v>
      </c>
      <c r="B601">
        <f t="shared" si="219"/>
        <v>250000</v>
      </c>
      <c r="E601">
        <f t="shared" si="213"/>
        <v>249952</v>
      </c>
      <c r="F601">
        <f t="shared" ref="F601:F625" si="222">B601</f>
        <v>250000</v>
      </c>
      <c r="I601">
        <f t="shared" si="214"/>
        <v>249947</v>
      </c>
      <c r="J601">
        <f t="shared" ref="J601:J625" si="223">F601</f>
        <v>250000</v>
      </c>
      <c r="M601">
        <f t="shared" si="215"/>
        <v>249988</v>
      </c>
      <c r="N601">
        <f t="shared" ref="N601:N625" si="224">J601</f>
        <v>250000</v>
      </c>
      <c r="Q601">
        <f t="shared" si="216"/>
        <v>249420</v>
      </c>
      <c r="R601">
        <f t="shared" ref="R601:R625" si="225">N601</f>
        <v>250000</v>
      </c>
      <c r="U601">
        <f t="shared" si="217"/>
        <v>249500</v>
      </c>
      <c r="V601">
        <f t="shared" si="220"/>
        <v>250000</v>
      </c>
      <c r="Y601">
        <f t="shared" si="218"/>
        <v>249962</v>
      </c>
      <c r="Z601">
        <f t="shared" si="221"/>
        <v>250000</v>
      </c>
    </row>
    <row r="602" spans="1:26" x14ac:dyDescent="0.4">
      <c r="A602">
        <f t="shared" ref="A602:A625" si="226">B602-$A$343</f>
        <v>264940.00000000006</v>
      </c>
      <c r="B602">
        <f t="shared" si="219"/>
        <v>265000.00000000006</v>
      </c>
      <c r="E602">
        <f t="shared" ref="E602:E625" si="227">F602-$E$343</f>
        <v>264952.00000000006</v>
      </c>
      <c r="F602">
        <f t="shared" si="222"/>
        <v>265000.00000000006</v>
      </c>
      <c r="I602">
        <f t="shared" ref="I602:I625" si="228">J602-$I$343</f>
        <v>264947.00000000006</v>
      </c>
      <c r="J602">
        <f t="shared" si="223"/>
        <v>265000.00000000006</v>
      </c>
      <c r="M602">
        <f t="shared" ref="M602:M625" si="229">N602-$M$343</f>
        <v>264988.00000000006</v>
      </c>
      <c r="N602">
        <f t="shared" si="224"/>
        <v>265000.00000000006</v>
      </c>
      <c r="Q602">
        <f t="shared" ref="Q602:Q625" si="230">R602-$Q$343</f>
        <v>264420.00000000006</v>
      </c>
      <c r="R602">
        <f t="shared" si="225"/>
        <v>265000.00000000006</v>
      </c>
      <c r="U602">
        <f t="shared" ref="U602:U625" si="231">V602-$U$343</f>
        <v>264500.00000000006</v>
      </c>
      <c r="V602">
        <f t="shared" si="220"/>
        <v>265000.00000000006</v>
      </c>
      <c r="Y602">
        <f t="shared" ref="Y602:Y625" si="232">Z602-$Y$343</f>
        <v>264962.00000000006</v>
      </c>
      <c r="Z602">
        <f t="shared" si="221"/>
        <v>265000.00000000006</v>
      </c>
    </row>
    <row r="603" spans="1:26" x14ac:dyDescent="0.4">
      <c r="A603">
        <f t="shared" si="226"/>
        <v>279940</v>
      </c>
      <c r="B603">
        <f t="shared" si="219"/>
        <v>280000</v>
      </c>
      <c r="E603">
        <f t="shared" si="227"/>
        <v>279952</v>
      </c>
      <c r="F603">
        <f t="shared" si="222"/>
        <v>280000</v>
      </c>
      <c r="I603">
        <f t="shared" si="228"/>
        <v>279947</v>
      </c>
      <c r="J603">
        <f t="shared" si="223"/>
        <v>280000</v>
      </c>
      <c r="M603">
        <f t="shared" si="229"/>
        <v>279988</v>
      </c>
      <c r="N603">
        <f t="shared" si="224"/>
        <v>280000</v>
      </c>
      <c r="Q603">
        <f t="shared" si="230"/>
        <v>279420</v>
      </c>
      <c r="R603">
        <f t="shared" si="225"/>
        <v>280000</v>
      </c>
      <c r="U603">
        <f t="shared" si="231"/>
        <v>279500</v>
      </c>
      <c r="V603">
        <f t="shared" si="220"/>
        <v>280000</v>
      </c>
      <c r="Y603">
        <f t="shared" si="232"/>
        <v>279962</v>
      </c>
      <c r="Z603">
        <f t="shared" si="221"/>
        <v>280000</v>
      </c>
    </row>
    <row r="604" spans="1:26" x14ac:dyDescent="0.4">
      <c r="A604">
        <f t="shared" si="226"/>
        <v>299940</v>
      </c>
      <c r="B604">
        <f t="shared" si="219"/>
        <v>300000</v>
      </c>
      <c r="E604">
        <f t="shared" si="227"/>
        <v>299952</v>
      </c>
      <c r="F604">
        <f t="shared" si="222"/>
        <v>300000</v>
      </c>
      <c r="I604">
        <f t="shared" si="228"/>
        <v>299947</v>
      </c>
      <c r="J604">
        <f t="shared" si="223"/>
        <v>300000</v>
      </c>
      <c r="M604">
        <f t="shared" si="229"/>
        <v>299988</v>
      </c>
      <c r="N604">
        <f t="shared" si="224"/>
        <v>300000</v>
      </c>
      <c r="Q604">
        <f t="shared" si="230"/>
        <v>299420</v>
      </c>
      <c r="R604">
        <f t="shared" si="225"/>
        <v>300000</v>
      </c>
      <c r="U604">
        <f t="shared" si="231"/>
        <v>299500</v>
      </c>
      <c r="V604">
        <f t="shared" si="220"/>
        <v>300000</v>
      </c>
      <c r="Y604">
        <f t="shared" si="232"/>
        <v>299962</v>
      </c>
      <c r="Z604">
        <f t="shared" si="221"/>
        <v>300000</v>
      </c>
    </row>
    <row r="605" spans="1:26" x14ac:dyDescent="0.4">
      <c r="A605">
        <f t="shared" si="226"/>
        <v>314940</v>
      </c>
      <c r="B605">
        <f t="shared" si="219"/>
        <v>315000</v>
      </c>
      <c r="E605">
        <f t="shared" si="227"/>
        <v>314952</v>
      </c>
      <c r="F605">
        <f t="shared" si="222"/>
        <v>315000</v>
      </c>
      <c r="I605">
        <f t="shared" si="228"/>
        <v>314947</v>
      </c>
      <c r="J605">
        <f t="shared" si="223"/>
        <v>315000</v>
      </c>
      <c r="M605">
        <f t="shared" si="229"/>
        <v>314988</v>
      </c>
      <c r="N605">
        <f t="shared" si="224"/>
        <v>315000</v>
      </c>
      <c r="Q605">
        <f t="shared" si="230"/>
        <v>314420</v>
      </c>
      <c r="R605">
        <f t="shared" si="225"/>
        <v>315000</v>
      </c>
      <c r="U605">
        <f t="shared" si="231"/>
        <v>314500</v>
      </c>
      <c r="V605">
        <f t="shared" si="220"/>
        <v>315000</v>
      </c>
      <c r="Y605">
        <f t="shared" si="232"/>
        <v>314962</v>
      </c>
      <c r="Z605">
        <f t="shared" si="221"/>
        <v>315000</v>
      </c>
    </row>
    <row r="606" spans="1:26" x14ac:dyDescent="0.4">
      <c r="A606">
        <f t="shared" si="226"/>
        <v>334940</v>
      </c>
      <c r="B606">
        <f t="shared" si="219"/>
        <v>335000</v>
      </c>
      <c r="E606">
        <f t="shared" si="227"/>
        <v>334952</v>
      </c>
      <c r="F606">
        <f t="shared" si="222"/>
        <v>335000</v>
      </c>
      <c r="I606">
        <f t="shared" si="228"/>
        <v>334947</v>
      </c>
      <c r="J606">
        <f t="shared" si="223"/>
        <v>335000</v>
      </c>
      <c r="M606">
        <f t="shared" si="229"/>
        <v>334988</v>
      </c>
      <c r="N606">
        <f t="shared" si="224"/>
        <v>335000</v>
      </c>
      <c r="Q606">
        <f t="shared" si="230"/>
        <v>334420</v>
      </c>
      <c r="R606">
        <f t="shared" si="225"/>
        <v>335000</v>
      </c>
      <c r="U606">
        <f t="shared" si="231"/>
        <v>334500</v>
      </c>
      <c r="V606">
        <f t="shared" si="220"/>
        <v>335000</v>
      </c>
      <c r="Y606">
        <f t="shared" si="232"/>
        <v>334962</v>
      </c>
      <c r="Z606">
        <f t="shared" si="221"/>
        <v>335000</v>
      </c>
    </row>
    <row r="607" spans="1:26" x14ac:dyDescent="0.4">
      <c r="A607">
        <f t="shared" si="226"/>
        <v>354940</v>
      </c>
      <c r="B607">
        <f t="shared" si="219"/>
        <v>355000</v>
      </c>
      <c r="E607">
        <f t="shared" si="227"/>
        <v>354952</v>
      </c>
      <c r="F607">
        <f t="shared" si="222"/>
        <v>355000</v>
      </c>
      <c r="I607">
        <f t="shared" si="228"/>
        <v>354947</v>
      </c>
      <c r="J607">
        <f t="shared" si="223"/>
        <v>355000</v>
      </c>
      <c r="M607">
        <f t="shared" si="229"/>
        <v>354988</v>
      </c>
      <c r="N607">
        <f t="shared" si="224"/>
        <v>355000</v>
      </c>
      <c r="Q607">
        <f t="shared" si="230"/>
        <v>354420</v>
      </c>
      <c r="R607">
        <f t="shared" si="225"/>
        <v>355000</v>
      </c>
      <c r="U607">
        <f t="shared" si="231"/>
        <v>354500</v>
      </c>
      <c r="V607">
        <f t="shared" si="220"/>
        <v>355000</v>
      </c>
      <c r="Y607">
        <f t="shared" si="232"/>
        <v>354962</v>
      </c>
      <c r="Z607">
        <f t="shared" si="221"/>
        <v>355000</v>
      </c>
    </row>
    <row r="608" spans="1:26" x14ac:dyDescent="0.4">
      <c r="A608">
        <f t="shared" si="226"/>
        <v>374940</v>
      </c>
      <c r="B608">
        <f t="shared" si="219"/>
        <v>375000</v>
      </c>
      <c r="E608">
        <f t="shared" si="227"/>
        <v>374952</v>
      </c>
      <c r="F608">
        <f t="shared" si="222"/>
        <v>375000</v>
      </c>
      <c r="I608">
        <f t="shared" si="228"/>
        <v>374947</v>
      </c>
      <c r="J608">
        <f t="shared" si="223"/>
        <v>375000</v>
      </c>
      <c r="M608">
        <f t="shared" si="229"/>
        <v>374988</v>
      </c>
      <c r="N608">
        <f t="shared" si="224"/>
        <v>375000</v>
      </c>
      <c r="Q608">
        <f t="shared" si="230"/>
        <v>374420</v>
      </c>
      <c r="R608">
        <f t="shared" si="225"/>
        <v>375000</v>
      </c>
      <c r="U608">
        <f t="shared" si="231"/>
        <v>374500</v>
      </c>
      <c r="V608">
        <f t="shared" si="220"/>
        <v>375000</v>
      </c>
      <c r="Y608">
        <f t="shared" si="232"/>
        <v>374962</v>
      </c>
      <c r="Z608">
        <f t="shared" si="221"/>
        <v>375000</v>
      </c>
    </row>
    <row r="609" spans="1:26" x14ac:dyDescent="0.4">
      <c r="A609">
        <f t="shared" si="226"/>
        <v>399940</v>
      </c>
      <c r="B609">
        <f t="shared" si="219"/>
        <v>400000</v>
      </c>
      <c r="E609">
        <f t="shared" si="227"/>
        <v>399952</v>
      </c>
      <c r="F609">
        <f t="shared" si="222"/>
        <v>400000</v>
      </c>
      <c r="I609">
        <f t="shared" si="228"/>
        <v>399947</v>
      </c>
      <c r="J609">
        <f t="shared" si="223"/>
        <v>400000</v>
      </c>
      <c r="M609">
        <f t="shared" si="229"/>
        <v>399988</v>
      </c>
      <c r="N609">
        <f t="shared" si="224"/>
        <v>400000</v>
      </c>
      <c r="Q609">
        <f t="shared" si="230"/>
        <v>399420</v>
      </c>
      <c r="R609">
        <f t="shared" si="225"/>
        <v>400000</v>
      </c>
      <c r="U609">
        <f t="shared" si="231"/>
        <v>399500</v>
      </c>
      <c r="V609">
        <f t="shared" si="220"/>
        <v>400000</v>
      </c>
      <c r="Y609">
        <f t="shared" si="232"/>
        <v>399962</v>
      </c>
      <c r="Z609">
        <f t="shared" si="221"/>
        <v>400000</v>
      </c>
    </row>
    <row r="610" spans="1:26" x14ac:dyDescent="0.4">
      <c r="A610">
        <f t="shared" si="226"/>
        <v>424940</v>
      </c>
      <c r="B610">
        <f t="shared" si="219"/>
        <v>425000</v>
      </c>
      <c r="E610">
        <f t="shared" si="227"/>
        <v>424952</v>
      </c>
      <c r="F610">
        <f t="shared" si="222"/>
        <v>425000</v>
      </c>
      <c r="I610">
        <f t="shared" si="228"/>
        <v>424947</v>
      </c>
      <c r="J610">
        <f t="shared" si="223"/>
        <v>425000</v>
      </c>
      <c r="M610">
        <f t="shared" si="229"/>
        <v>424988</v>
      </c>
      <c r="N610">
        <f t="shared" si="224"/>
        <v>425000</v>
      </c>
      <c r="Q610">
        <f t="shared" si="230"/>
        <v>424420</v>
      </c>
      <c r="R610">
        <f t="shared" si="225"/>
        <v>425000</v>
      </c>
      <c r="U610">
        <f t="shared" si="231"/>
        <v>424500</v>
      </c>
      <c r="V610">
        <f t="shared" si="220"/>
        <v>425000</v>
      </c>
      <c r="Y610">
        <f t="shared" si="232"/>
        <v>424962</v>
      </c>
      <c r="Z610">
        <f t="shared" si="221"/>
        <v>425000</v>
      </c>
    </row>
    <row r="611" spans="1:26" x14ac:dyDescent="0.4">
      <c r="A611">
        <f t="shared" si="226"/>
        <v>449940</v>
      </c>
      <c r="B611">
        <f t="shared" si="219"/>
        <v>450000</v>
      </c>
      <c r="E611">
        <f t="shared" si="227"/>
        <v>449952</v>
      </c>
      <c r="F611">
        <f t="shared" si="222"/>
        <v>450000</v>
      </c>
      <c r="I611">
        <f t="shared" si="228"/>
        <v>449947</v>
      </c>
      <c r="J611">
        <f t="shared" si="223"/>
        <v>450000</v>
      </c>
      <c r="M611">
        <f t="shared" si="229"/>
        <v>449988</v>
      </c>
      <c r="N611">
        <f t="shared" si="224"/>
        <v>450000</v>
      </c>
      <c r="Q611">
        <f t="shared" si="230"/>
        <v>449420</v>
      </c>
      <c r="R611">
        <f t="shared" si="225"/>
        <v>450000</v>
      </c>
      <c r="U611">
        <f t="shared" si="231"/>
        <v>449500</v>
      </c>
      <c r="V611">
        <f t="shared" si="220"/>
        <v>450000</v>
      </c>
      <c r="Y611">
        <f t="shared" si="232"/>
        <v>449962</v>
      </c>
      <c r="Z611">
        <f t="shared" si="221"/>
        <v>450000</v>
      </c>
    </row>
    <row r="612" spans="1:26" x14ac:dyDescent="0.4">
      <c r="A612">
        <f t="shared" si="226"/>
        <v>474940</v>
      </c>
      <c r="B612">
        <f t="shared" si="219"/>
        <v>475000</v>
      </c>
      <c r="E612">
        <f t="shared" si="227"/>
        <v>474952</v>
      </c>
      <c r="F612">
        <f t="shared" si="222"/>
        <v>475000</v>
      </c>
      <c r="I612">
        <f t="shared" si="228"/>
        <v>474947</v>
      </c>
      <c r="J612">
        <f t="shared" si="223"/>
        <v>475000</v>
      </c>
      <c r="M612">
        <f t="shared" si="229"/>
        <v>474988</v>
      </c>
      <c r="N612">
        <f t="shared" si="224"/>
        <v>475000</v>
      </c>
      <c r="Q612">
        <f t="shared" si="230"/>
        <v>474420</v>
      </c>
      <c r="R612">
        <f t="shared" si="225"/>
        <v>475000</v>
      </c>
      <c r="U612">
        <f t="shared" si="231"/>
        <v>474500</v>
      </c>
      <c r="V612">
        <f t="shared" si="220"/>
        <v>475000</v>
      </c>
      <c r="Y612">
        <f t="shared" si="232"/>
        <v>474962</v>
      </c>
      <c r="Z612">
        <f t="shared" si="221"/>
        <v>475000</v>
      </c>
    </row>
    <row r="613" spans="1:26" x14ac:dyDescent="0.4">
      <c r="A613">
        <f t="shared" si="226"/>
        <v>499940</v>
      </c>
      <c r="B613">
        <f t="shared" si="219"/>
        <v>500000</v>
      </c>
      <c r="E613">
        <f t="shared" si="227"/>
        <v>499952</v>
      </c>
      <c r="F613">
        <f t="shared" si="222"/>
        <v>500000</v>
      </c>
      <c r="I613">
        <f t="shared" si="228"/>
        <v>499947</v>
      </c>
      <c r="J613">
        <f t="shared" si="223"/>
        <v>500000</v>
      </c>
      <c r="M613">
        <f t="shared" si="229"/>
        <v>499988</v>
      </c>
      <c r="N613">
        <f t="shared" si="224"/>
        <v>500000</v>
      </c>
      <c r="Q613">
        <f t="shared" si="230"/>
        <v>499420</v>
      </c>
      <c r="R613">
        <f t="shared" si="225"/>
        <v>500000</v>
      </c>
      <c r="U613">
        <f t="shared" si="231"/>
        <v>499500</v>
      </c>
      <c r="V613">
        <f t="shared" si="220"/>
        <v>500000</v>
      </c>
      <c r="Y613">
        <f t="shared" si="232"/>
        <v>499962</v>
      </c>
      <c r="Z613">
        <f t="shared" si="221"/>
        <v>500000</v>
      </c>
    </row>
    <row r="614" spans="1:26" x14ac:dyDescent="0.4">
      <c r="A614">
        <f t="shared" si="226"/>
        <v>529940.00000000012</v>
      </c>
      <c r="B614">
        <f t="shared" si="219"/>
        <v>530000.00000000012</v>
      </c>
      <c r="E614">
        <f t="shared" si="227"/>
        <v>529952.00000000012</v>
      </c>
      <c r="F614">
        <f t="shared" si="222"/>
        <v>530000.00000000012</v>
      </c>
      <c r="I614">
        <f t="shared" si="228"/>
        <v>529947.00000000012</v>
      </c>
      <c r="J614">
        <f t="shared" si="223"/>
        <v>530000.00000000012</v>
      </c>
      <c r="M614">
        <f t="shared" si="229"/>
        <v>529988.00000000012</v>
      </c>
      <c r="N614">
        <f t="shared" si="224"/>
        <v>530000.00000000012</v>
      </c>
      <c r="Q614">
        <f t="shared" si="230"/>
        <v>529420.00000000012</v>
      </c>
      <c r="R614">
        <f t="shared" si="225"/>
        <v>530000.00000000012</v>
      </c>
      <c r="U614">
        <f t="shared" si="231"/>
        <v>529500.00000000012</v>
      </c>
      <c r="V614">
        <f t="shared" si="220"/>
        <v>530000.00000000012</v>
      </c>
      <c r="Y614">
        <f t="shared" si="232"/>
        <v>529962.00000000012</v>
      </c>
      <c r="Z614">
        <f t="shared" si="221"/>
        <v>530000.00000000012</v>
      </c>
    </row>
    <row r="615" spans="1:26" x14ac:dyDescent="0.4">
      <c r="A615">
        <f t="shared" si="226"/>
        <v>559940</v>
      </c>
      <c r="B615">
        <f t="shared" si="219"/>
        <v>560000</v>
      </c>
      <c r="E615">
        <f t="shared" si="227"/>
        <v>559952</v>
      </c>
      <c r="F615">
        <f t="shared" si="222"/>
        <v>560000</v>
      </c>
      <c r="I615">
        <f t="shared" si="228"/>
        <v>559947</v>
      </c>
      <c r="J615">
        <f t="shared" si="223"/>
        <v>560000</v>
      </c>
      <c r="M615">
        <f t="shared" si="229"/>
        <v>559988</v>
      </c>
      <c r="N615">
        <f t="shared" si="224"/>
        <v>560000</v>
      </c>
      <c r="Q615">
        <f t="shared" si="230"/>
        <v>559420</v>
      </c>
      <c r="R615">
        <f t="shared" si="225"/>
        <v>560000</v>
      </c>
      <c r="U615">
        <f t="shared" si="231"/>
        <v>559500</v>
      </c>
      <c r="V615">
        <f t="shared" si="220"/>
        <v>560000</v>
      </c>
      <c r="Y615">
        <f t="shared" si="232"/>
        <v>559962</v>
      </c>
      <c r="Z615">
        <f t="shared" si="221"/>
        <v>560000</v>
      </c>
    </row>
    <row r="616" spans="1:26" x14ac:dyDescent="0.4">
      <c r="A616">
        <f t="shared" si="226"/>
        <v>599940</v>
      </c>
      <c r="B616">
        <f t="shared" si="219"/>
        <v>600000</v>
      </c>
      <c r="E616">
        <f t="shared" si="227"/>
        <v>599952</v>
      </c>
      <c r="F616">
        <f t="shared" si="222"/>
        <v>600000</v>
      </c>
      <c r="I616">
        <f t="shared" si="228"/>
        <v>599947</v>
      </c>
      <c r="J616">
        <f t="shared" si="223"/>
        <v>600000</v>
      </c>
      <c r="M616">
        <f t="shared" si="229"/>
        <v>599988</v>
      </c>
      <c r="N616">
        <f t="shared" si="224"/>
        <v>600000</v>
      </c>
      <c r="Q616">
        <f t="shared" si="230"/>
        <v>599420</v>
      </c>
      <c r="R616">
        <f t="shared" si="225"/>
        <v>600000</v>
      </c>
      <c r="U616">
        <f t="shared" si="231"/>
        <v>599500</v>
      </c>
      <c r="V616">
        <f t="shared" si="220"/>
        <v>600000</v>
      </c>
      <c r="Y616">
        <f t="shared" si="232"/>
        <v>599962</v>
      </c>
      <c r="Z616">
        <f t="shared" si="221"/>
        <v>600000</v>
      </c>
    </row>
    <row r="617" spans="1:26" x14ac:dyDescent="0.4">
      <c r="A617">
        <f t="shared" si="226"/>
        <v>629940</v>
      </c>
      <c r="B617">
        <f t="shared" si="219"/>
        <v>630000</v>
      </c>
      <c r="E617">
        <f t="shared" si="227"/>
        <v>629952</v>
      </c>
      <c r="F617">
        <f t="shared" si="222"/>
        <v>630000</v>
      </c>
      <c r="I617">
        <f t="shared" si="228"/>
        <v>629947</v>
      </c>
      <c r="J617">
        <f t="shared" si="223"/>
        <v>630000</v>
      </c>
      <c r="M617">
        <f t="shared" si="229"/>
        <v>629988</v>
      </c>
      <c r="N617">
        <f t="shared" si="224"/>
        <v>630000</v>
      </c>
      <c r="Q617">
        <f t="shared" si="230"/>
        <v>629420</v>
      </c>
      <c r="R617">
        <f t="shared" si="225"/>
        <v>630000</v>
      </c>
      <c r="U617">
        <f t="shared" si="231"/>
        <v>629500</v>
      </c>
      <c r="V617">
        <f t="shared" si="220"/>
        <v>630000</v>
      </c>
      <c r="Y617">
        <f t="shared" si="232"/>
        <v>629962</v>
      </c>
      <c r="Z617">
        <f t="shared" si="221"/>
        <v>630000</v>
      </c>
    </row>
    <row r="618" spans="1:26" x14ac:dyDescent="0.4">
      <c r="A618">
        <f t="shared" si="226"/>
        <v>669940</v>
      </c>
      <c r="B618">
        <f t="shared" si="219"/>
        <v>670000</v>
      </c>
      <c r="E618">
        <f t="shared" si="227"/>
        <v>669952</v>
      </c>
      <c r="F618">
        <f t="shared" si="222"/>
        <v>670000</v>
      </c>
      <c r="I618">
        <f t="shared" si="228"/>
        <v>669947</v>
      </c>
      <c r="J618">
        <f t="shared" si="223"/>
        <v>670000</v>
      </c>
      <c r="M618">
        <f t="shared" si="229"/>
        <v>669988</v>
      </c>
      <c r="N618">
        <f t="shared" si="224"/>
        <v>670000</v>
      </c>
      <c r="Q618">
        <f t="shared" si="230"/>
        <v>669420</v>
      </c>
      <c r="R618">
        <f t="shared" si="225"/>
        <v>670000</v>
      </c>
      <c r="U618">
        <f t="shared" si="231"/>
        <v>669500</v>
      </c>
      <c r="V618">
        <f t="shared" si="220"/>
        <v>670000</v>
      </c>
      <c r="Y618">
        <f t="shared" si="232"/>
        <v>669962</v>
      </c>
      <c r="Z618">
        <f t="shared" si="221"/>
        <v>670000</v>
      </c>
    </row>
    <row r="619" spans="1:26" x14ac:dyDescent="0.4">
      <c r="A619">
        <f t="shared" si="226"/>
        <v>709940</v>
      </c>
      <c r="B619">
        <f t="shared" si="219"/>
        <v>710000</v>
      </c>
      <c r="E619">
        <f t="shared" si="227"/>
        <v>709952</v>
      </c>
      <c r="F619">
        <f t="shared" si="222"/>
        <v>710000</v>
      </c>
      <c r="I619">
        <f t="shared" si="228"/>
        <v>709947</v>
      </c>
      <c r="J619">
        <f t="shared" si="223"/>
        <v>710000</v>
      </c>
      <c r="M619">
        <f t="shared" si="229"/>
        <v>709988</v>
      </c>
      <c r="N619">
        <f t="shared" si="224"/>
        <v>710000</v>
      </c>
      <c r="Q619">
        <f t="shared" si="230"/>
        <v>709420</v>
      </c>
      <c r="R619">
        <f t="shared" si="225"/>
        <v>710000</v>
      </c>
      <c r="U619">
        <f t="shared" si="231"/>
        <v>709500</v>
      </c>
      <c r="V619">
        <f t="shared" si="220"/>
        <v>710000</v>
      </c>
      <c r="Y619">
        <f t="shared" si="232"/>
        <v>709962</v>
      </c>
      <c r="Z619">
        <f t="shared" si="221"/>
        <v>710000</v>
      </c>
    </row>
    <row r="620" spans="1:26" x14ac:dyDescent="0.4">
      <c r="A620">
        <f t="shared" si="226"/>
        <v>749940</v>
      </c>
      <c r="B620">
        <f t="shared" si="219"/>
        <v>750000</v>
      </c>
      <c r="E620">
        <f t="shared" si="227"/>
        <v>749952</v>
      </c>
      <c r="F620">
        <f t="shared" si="222"/>
        <v>750000</v>
      </c>
      <c r="I620">
        <f t="shared" si="228"/>
        <v>749947</v>
      </c>
      <c r="J620">
        <f t="shared" si="223"/>
        <v>750000</v>
      </c>
      <c r="M620">
        <f t="shared" si="229"/>
        <v>749988</v>
      </c>
      <c r="N620">
        <f t="shared" si="224"/>
        <v>750000</v>
      </c>
      <c r="Q620">
        <f t="shared" si="230"/>
        <v>749420</v>
      </c>
      <c r="R620">
        <f t="shared" si="225"/>
        <v>750000</v>
      </c>
      <c r="U620">
        <f t="shared" si="231"/>
        <v>749500</v>
      </c>
      <c r="V620">
        <f t="shared" si="220"/>
        <v>750000</v>
      </c>
      <c r="Y620">
        <f t="shared" si="232"/>
        <v>749962</v>
      </c>
      <c r="Z620">
        <f t="shared" si="221"/>
        <v>750000</v>
      </c>
    </row>
    <row r="621" spans="1:26" x14ac:dyDescent="0.4">
      <c r="A621">
        <f t="shared" si="226"/>
        <v>799940</v>
      </c>
      <c r="B621">
        <f t="shared" si="219"/>
        <v>800000</v>
      </c>
      <c r="E621">
        <f t="shared" si="227"/>
        <v>799952</v>
      </c>
      <c r="F621">
        <f t="shared" si="222"/>
        <v>800000</v>
      </c>
      <c r="I621">
        <f t="shared" si="228"/>
        <v>799947</v>
      </c>
      <c r="J621">
        <f t="shared" si="223"/>
        <v>800000</v>
      </c>
      <c r="M621">
        <f t="shared" si="229"/>
        <v>799988</v>
      </c>
      <c r="N621">
        <f t="shared" si="224"/>
        <v>800000</v>
      </c>
      <c r="Q621">
        <f t="shared" si="230"/>
        <v>799420</v>
      </c>
      <c r="R621">
        <f t="shared" si="225"/>
        <v>800000</v>
      </c>
      <c r="U621">
        <f t="shared" si="231"/>
        <v>799500</v>
      </c>
      <c r="V621">
        <f t="shared" si="220"/>
        <v>800000</v>
      </c>
      <c r="Y621">
        <f t="shared" si="232"/>
        <v>799962</v>
      </c>
      <c r="Z621">
        <f t="shared" si="221"/>
        <v>800000</v>
      </c>
    </row>
    <row r="622" spans="1:26" x14ac:dyDescent="0.4">
      <c r="A622">
        <f t="shared" si="226"/>
        <v>849940</v>
      </c>
      <c r="B622">
        <f t="shared" si="219"/>
        <v>850000</v>
      </c>
      <c r="E622">
        <f t="shared" si="227"/>
        <v>849952</v>
      </c>
      <c r="F622">
        <f t="shared" si="222"/>
        <v>850000</v>
      </c>
      <c r="I622">
        <f t="shared" si="228"/>
        <v>849947</v>
      </c>
      <c r="J622">
        <f t="shared" si="223"/>
        <v>850000</v>
      </c>
      <c r="M622">
        <f t="shared" si="229"/>
        <v>849988</v>
      </c>
      <c r="N622">
        <f t="shared" si="224"/>
        <v>850000</v>
      </c>
      <c r="Q622">
        <f t="shared" si="230"/>
        <v>849420</v>
      </c>
      <c r="R622">
        <f t="shared" si="225"/>
        <v>850000</v>
      </c>
      <c r="U622">
        <f t="shared" si="231"/>
        <v>849500</v>
      </c>
      <c r="V622">
        <f t="shared" si="220"/>
        <v>850000</v>
      </c>
      <c r="Y622">
        <f t="shared" si="232"/>
        <v>849962</v>
      </c>
      <c r="Z622">
        <f t="shared" si="221"/>
        <v>850000</v>
      </c>
    </row>
    <row r="623" spans="1:26" x14ac:dyDescent="0.4">
      <c r="A623">
        <f t="shared" si="226"/>
        <v>899940</v>
      </c>
      <c r="B623">
        <f t="shared" si="219"/>
        <v>900000</v>
      </c>
      <c r="E623">
        <f t="shared" si="227"/>
        <v>899952</v>
      </c>
      <c r="F623">
        <f t="shared" si="222"/>
        <v>900000</v>
      </c>
      <c r="I623">
        <f t="shared" si="228"/>
        <v>899947</v>
      </c>
      <c r="J623">
        <f t="shared" si="223"/>
        <v>900000</v>
      </c>
      <c r="M623">
        <f t="shared" si="229"/>
        <v>899988</v>
      </c>
      <c r="N623">
        <f t="shared" si="224"/>
        <v>900000</v>
      </c>
      <c r="Q623">
        <f t="shared" si="230"/>
        <v>899420</v>
      </c>
      <c r="R623">
        <f t="shared" si="225"/>
        <v>900000</v>
      </c>
      <c r="U623">
        <f t="shared" si="231"/>
        <v>899500</v>
      </c>
      <c r="V623">
        <f t="shared" si="220"/>
        <v>900000</v>
      </c>
      <c r="Y623">
        <f t="shared" si="232"/>
        <v>899962</v>
      </c>
      <c r="Z623">
        <f t="shared" si="221"/>
        <v>900000</v>
      </c>
    </row>
    <row r="624" spans="1:26" x14ac:dyDescent="0.4">
      <c r="A624">
        <f t="shared" si="226"/>
        <v>949940</v>
      </c>
      <c r="B624">
        <f t="shared" si="219"/>
        <v>950000</v>
      </c>
      <c r="E624">
        <f t="shared" si="227"/>
        <v>949952</v>
      </c>
      <c r="F624">
        <f t="shared" si="222"/>
        <v>950000</v>
      </c>
      <c r="I624">
        <f t="shared" si="228"/>
        <v>949947</v>
      </c>
      <c r="J624">
        <f t="shared" si="223"/>
        <v>950000</v>
      </c>
      <c r="M624">
        <f t="shared" si="229"/>
        <v>949988</v>
      </c>
      <c r="N624">
        <f t="shared" si="224"/>
        <v>950000</v>
      </c>
      <c r="Q624">
        <f t="shared" si="230"/>
        <v>949420</v>
      </c>
      <c r="R624">
        <f t="shared" si="225"/>
        <v>950000</v>
      </c>
      <c r="U624">
        <f t="shared" si="231"/>
        <v>949500</v>
      </c>
      <c r="V624">
        <f t="shared" si="220"/>
        <v>950000</v>
      </c>
      <c r="Y624">
        <f t="shared" si="232"/>
        <v>949962</v>
      </c>
      <c r="Z624">
        <f t="shared" si="221"/>
        <v>950000</v>
      </c>
    </row>
    <row r="625" spans="1:26" x14ac:dyDescent="0.4">
      <c r="A625">
        <f t="shared" si="226"/>
        <v>999940</v>
      </c>
      <c r="B625">
        <f t="shared" si="219"/>
        <v>1000000</v>
      </c>
      <c r="E625">
        <f t="shared" si="227"/>
        <v>999952</v>
      </c>
      <c r="F625">
        <f t="shared" si="222"/>
        <v>1000000</v>
      </c>
      <c r="I625">
        <f t="shared" si="228"/>
        <v>999947</v>
      </c>
      <c r="J625">
        <f t="shared" si="223"/>
        <v>1000000</v>
      </c>
      <c r="M625">
        <f t="shared" si="229"/>
        <v>999988</v>
      </c>
      <c r="N625">
        <f t="shared" si="224"/>
        <v>1000000</v>
      </c>
      <c r="Q625">
        <f t="shared" si="230"/>
        <v>999420</v>
      </c>
      <c r="R625">
        <f t="shared" si="225"/>
        <v>1000000</v>
      </c>
      <c r="U625">
        <f t="shared" si="231"/>
        <v>999500</v>
      </c>
      <c r="V625">
        <f t="shared" si="220"/>
        <v>1000000</v>
      </c>
      <c r="Y625">
        <f t="shared" si="232"/>
        <v>999962</v>
      </c>
      <c r="Z625">
        <f t="shared" si="221"/>
        <v>1000000</v>
      </c>
    </row>
    <row r="627" spans="1:26" x14ac:dyDescent="0.4">
      <c r="A627" t="s">
        <v>17</v>
      </c>
      <c r="B627" t="s">
        <v>780</v>
      </c>
      <c r="C627" t="s">
        <v>59</v>
      </c>
    </row>
    <row r="628" spans="1:26" x14ac:dyDescent="0.4">
      <c r="A628">
        <f>'例題11.1'!H17</f>
        <v>16.5</v>
      </c>
      <c r="B628">
        <f>SMALL(A630:A690,COUNTIF(A630:A690,"&lt;=0")+1)</f>
        <v>3.5</v>
      </c>
      <c r="C628">
        <f>VLOOKUP(B628,A630:B690,2,FALSE)</f>
        <v>20</v>
      </c>
    </row>
    <row r="629" spans="1:26" x14ac:dyDescent="0.4">
      <c r="A629" t="s">
        <v>786</v>
      </c>
      <c r="B629" t="str">
        <f>B69</f>
        <v>R10</v>
      </c>
    </row>
    <row r="630" spans="1:26" x14ac:dyDescent="0.4">
      <c r="A630">
        <f>B630-$A$628</f>
        <v>-16.399999999999999</v>
      </c>
      <c r="B630">
        <f t="shared" ref="B630:B690" si="233">B70</f>
        <v>0.1</v>
      </c>
    </row>
    <row r="631" spans="1:26" x14ac:dyDescent="0.4">
      <c r="A631">
        <f t="shared" ref="A631:A690" si="234">B631-$A$628</f>
        <v>-16.375</v>
      </c>
      <c r="B631">
        <f t="shared" si="233"/>
        <v>0.125</v>
      </c>
    </row>
    <row r="632" spans="1:26" x14ac:dyDescent="0.4">
      <c r="A632">
        <f t="shared" si="234"/>
        <v>-16.34</v>
      </c>
      <c r="B632">
        <f t="shared" si="233"/>
        <v>0.16</v>
      </c>
    </row>
    <row r="633" spans="1:26" x14ac:dyDescent="0.4">
      <c r="A633">
        <f t="shared" si="234"/>
        <v>-16.3</v>
      </c>
      <c r="B633">
        <f t="shared" si="233"/>
        <v>0.2</v>
      </c>
    </row>
    <row r="634" spans="1:26" x14ac:dyDescent="0.4">
      <c r="A634">
        <f t="shared" si="234"/>
        <v>-16.25</v>
      </c>
      <c r="B634">
        <f t="shared" si="233"/>
        <v>0.25</v>
      </c>
    </row>
    <row r="635" spans="1:26" x14ac:dyDescent="0.4">
      <c r="A635">
        <f t="shared" si="234"/>
        <v>-16.184999999999999</v>
      </c>
      <c r="B635">
        <f t="shared" si="233"/>
        <v>0.315</v>
      </c>
    </row>
    <row r="636" spans="1:26" x14ac:dyDescent="0.4">
      <c r="A636">
        <f t="shared" si="234"/>
        <v>-16.100000000000001</v>
      </c>
      <c r="B636">
        <f t="shared" si="233"/>
        <v>0.4</v>
      </c>
    </row>
    <row r="637" spans="1:26" x14ac:dyDescent="0.4">
      <c r="A637">
        <f t="shared" si="234"/>
        <v>-16</v>
      </c>
      <c r="B637">
        <f t="shared" si="233"/>
        <v>0.5</v>
      </c>
    </row>
    <row r="638" spans="1:26" x14ac:dyDescent="0.4">
      <c r="A638">
        <f t="shared" si="234"/>
        <v>-15.87</v>
      </c>
      <c r="B638">
        <f t="shared" si="233"/>
        <v>0.63</v>
      </c>
    </row>
    <row r="639" spans="1:26" x14ac:dyDescent="0.4">
      <c r="A639">
        <f t="shared" si="234"/>
        <v>-15.7</v>
      </c>
      <c r="B639">
        <f t="shared" si="233"/>
        <v>0.8</v>
      </c>
    </row>
    <row r="640" spans="1:26" x14ac:dyDescent="0.4">
      <c r="A640">
        <f t="shared" si="234"/>
        <v>-15.5</v>
      </c>
      <c r="B640">
        <f t="shared" si="233"/>
        <v>1</v>
      </c>
    </row>
    <row r="641" spans="1:2" x14ac:dyDescent="0.4">
      <c r="A641">
        <f t="shared" si="234"/>
        <v>-15.25</v>
      </c>
      <c r="B641">
        <f t="shared" si="233"/>
        <v>1.25</v>
      </c>
    </row>
    <row r="642" spans="1:2" x14ac:dyDescent="0.4">
      <c r="A642">
        <f t="shared" si="234"/>
        <v>-14.9</v>
      </c>
      <c r="B642">
        <f t="shared" si="233"/>
        <v>1.6</v>
      </c>
    </row>
    <row r="643" spans="1:2" x14ac:dyDescent="0.4">
      <c r="A643">
        <f t="shared" si="234"/>
        <v>-14.5</v>
      </c>
      <c r="B643">
        <f t="shared" si="233"/>
        <v>2</v>
      </c>
    </row>
    <row r="644" spans="1:2" x14ac:dyDescent="0.4">
      <c r="A644">
        <f t="shared" si="234"/>
        <v>-14</v>
      </c>
      <c r="B644">
        <f t="shared" si="233"/>
        <v>2.5</v>
      </c>
    </row>
    <row r="645" spans="1:2" x14ac:dyDescent="0.4">
      <c r="A645">
        <f t="shared" si="234"/>
        <v>-13.35</v>
      </c>
      <c r="B645">
        <f t="shared" si="233"/>
        <v>3.15</v>
      </c>
    </row>
    <row r="646" spans="1:2" x14ac:dyDescent="0.4">
      <c r="A646">
        <f t="shared" si="234"/>
        <v>-12.5</v>
      </c>
      <c r="B646">
        <f t="shared" si="233"/>
        <v>4</v>
      </c>
    </row>
    <row r="647" spans="1:2" x14ac:dyDescent="0.4">
      <c r="A647">
        <f t="shared" si="234"/>
        <v>-11.5</v>
      </c>
      <c r="B647">
        <f t="shared" si="233"/>
        <v>5</v>
      </c>
    </row>
    <row r="648" spans="1:2" x14ac:dyDescent="0.4">
      <c r="A648">
        <f t="shared" si="234"/>
        <v>-10.199999999999999</v>
      </c>
      <c r="B648">
        <f t="shared" si="233"/>
        <v>6.3</v>
      </c>
    </row>
    <row r="649" spans="1:2" x14ac:dyDescent="0.4">
      <c r="A649">
        <f t="shared" si="234"/>
        <v>-8.5</v>
      </c>
      <c r="B649">
        <f t="shared" si="233"/>
        <v>8</v>
      </c>
    </row>
    <row r="650" spans="1:2" x14ac:dyDescent="0.4">
      <c r="A650">
        <f t="shared" si="234"/>
        <v>-6.5</v>
      </c>
      <c r="B650">
        <f t="shared" si="233"/>
        <v>10</v>
      </c>
    </row>
    <row r="651" spans="1:2" x14ac:dyDescent="0.4">
      <c r="A651">
        <f t="shared" si="234"/>
        <v>-4</v>
      </c>
      <c r="B651">
        <f t="shared" si="233"/>
        <v>12.5</v>
      </c>
    </row>
    <row r="652" spans="1:2" x14ac:dyDescent="0.4">
      <c r="A652">
        <f t="shared" si="234"/>
        <v>-0.5</v>
      </c>
      <c r="B652">
        <f t="shared" si="233"/>
        <v>16</v>
      </c>
    </row>
    <row r="653" spans="1:2" x14ac:dyDescent="0.4">
      <c r="A653">
        <f t="shared" si="234"/>
        <v>3.5</v>
      </c>
      <c r="B653">
        <f t="shared" si="233"/>
        <v>20</v>
      </c>
    </row>
    <row r="654" spans="1:2" x14ac:dyDescent="0.4">
      <c r="A654">
        <f t="shared" si="234"/>
        <v>8.5</v>
      </c>
      <c r="B654">
        <f t="shared" si="233"/>
        <v>25</v>
      </c>
    </row>
    <row r="655" spans="1:2" x14ac:dyDescent="0.4">
      <c r="A655">
        <f t="shared" si="234"/>
        <v>15</v>
      </c>
      <c r="B655">
        <f t="shared" si="233"/>
        <v>31.5</v>
      </c>
    </row>
    <row r="656" spans="1:2" x14ac:dyDescent="0.4">
      <c r="A656">
        <f t="shared" si="234"/>
        <v>23.5</v>
      </c>
      <c r="B656">
        <f t="shared" si="233"/>
        <v>40</v>
      </c>
    </row>
    <row r="657" spans="1:2" x14ac:dyDescent="0.4">
      <c r="A657">
        <f t="shared" si="234"/>
        <v>33.5</v>
      </c>
      <c r="B657">
        <f t="shared" si="233"/>
        <v>50</v>
      </c>
    </row>
    <row r="658" spans="1:2" x14ac:dyDescent="0.4">
      <c r="A658">
        <f t="shared" si="234"/>
        <v>46.5</v>
      </c>
      <c r="B658">
        <f t="shared" si="233"/>
        <v>63</v>
      </c>
    </row>
    <row r="659" spans="1:2" x14ac:dyDescent="0.4">
      <c r="A659">
        <f t="shared" si="234"/>
        <v>63.5</v>
      </c>
      <c r="B659">
        <f t="shared" si="233"/>
        <v>80</v>
      </c>
    </row>
    <row r="660" spans="1:2" x14ac:dyDescent="0.4">
      <c r="A660">
        <f t="shared" si="234"/>
        <v>83.5</v>
      </c>
      <c r="B660">
        <f t="shared" si="233"/>
        <v>100</v>
      </c>
    </row>
    <row r="661" spans="1:2" x14ac:dyDescent="0.4">
      <c r="A661">
        <f t="shared" si="234"/>
        <v>108.5</v>
      </c>
      <c r="B661">
        <f t="shared" si="233"/>
        <v>125</v>
      </c>
    </row>
    <row r="662" spans="1:2" x14ac:dyDescent="0.4">
      <c r="A662">
        <f t="shared" si="234"/>
        <v>143.5</v>
      </c>
      <c r="B662">
        <f t="shared" si="233"/>
        <v>160</v>
      </c>
    </row>
    <row r="663" spans="1:2" x14ac:dyDescent="0.4">
      <c r="A663">
        <f t="shared" si="234"/>
        <v>183.5</v>
      </c>
      <c r="B663">
        <f t="shared" si="233"/>
        <v>200</v>
      </c>
    </row>
    <row r="664" spans="1:2" x14ac:dyDescent="0.4">
      <c r="A664">
        <f t="shared" si="234"/>
        <v>233.5</v>
      </c>
      <c r="B664">
        <f t="shared" si="233"/>
        <v>250</v>
      </c>
    </row>
    <row r="665" spans="1:2" x14ac:dyDescent="0.4">
      <c r="A665">
        <f t="shared" si="234"/>
        <v>298.5</v>
      </c>
      <c r="B665">
        <f t="shared" si="233"/>
        <v>315</v>
      </c>
    </row>
    <row r="666" spans="1:2" x14ac:dyDescent="0.4">
      <c r="A666">
        <f t="shared" si="234"/>
        <v>383.5</v>
      </c>
      <c r="B666">
        <f t="shared" si="233"/>
        <v>400</v>
      </c>
    </row>
    <row r="667" spans="1:2" x14ac:dyDescent="0.4">
      <c r="A667">
        <f t="shared" si="234"/>
        <v>483.5</v>
      </c>
      <c r="B667">
        <f t="shared" si="233"/>
        <v>500</v>
      </c>
    </row>
    <row r="668" spans="1:2" x14ac:dyDescent="0.4">
      <c r="A668">
        <f t="shared" si="234"/>
        <v>613.5</v>
      </c>
      <c r="B668">
        <f t="shared" si="233"/>
        <v>630</v>
      </c>
    </row>
    <row r="669" spans="1:2" x14ac:dyDescent="0.4">
      <c r="A669">
        <f t="shared" si="234"/>
        <v>783.5</v>
      </c>
      <c r="B669">
        <f t="shared" si="233"/>
        <v>800</v>
      </c>
    </row>
    <row r="670" spans="1:2" x14ac:dyDescent="0.4">
      <c r="A670">
        <f t="shared" si="234"/>
        <v>983.5</v>
      </c>
      <c r="B670">
        <f t="shared" si="233"/>
        <v>1000</v>
      </c>
    </row>
    <row r="671" spans="1:2" x14ac:dyDescent="0.4">
      <c r="A671">
        <f t="shared" si="234"/>
        <v>1233.5</v>
      </c>
      <c r="B671">
        <f t="shared" si="233"/>
        <v>1250</v>
      </c>
    </row>
    <row r="672" spans="1:2" x14ac:dyDescent="0.4">
      <c r="A672">
        <f t="shared" si="234"/>
        <v>1583.5</v>
      </c>
      <c r="B672">
        <f t="shared" si="233"/>
        <v>1600</v>
      </c>
    </row>
    <row r="673" spans="1:2" x14ac:dyDescent="0.4">
      <c r="A673">
        <f t="shared" si="234"/>
        <v>1983.5</v>
      </c>
      <c r="B673">
        <f t="shared" si="233"/>
        <v>2000</v>
      </c>
    </row>
    <row r="674" spans="1:2" x14ac:dyDescent="0.4">
      <c r="A674">
        <f t="shared" si="234"/>
        <v>2483.5</v>
      </c>
      <c r="B674">
        <f t="shared" si="233"/>
        <v>2500</v>
      </c>
    </row>
    <row r="675" spans="1:2" x14ac:dyDescent="0.4">
      <c r="A675">
        <f t="shared" si="234"/>
        <v>3133.5</v>
      </c>
      <c r="B675">
        <f t="shared" si="233"/>
        <v>3150</v>
      </c>
    </row>
    <row r="676" spans="1:2" x14ac:dyDescent="0.4">
      <c r="A676">
        <f t="shared" si="234"/>
        <v>3983.5</v>
      </c>
      <c r="B676">
        <f t="shared" si="233"/>
        <v>4000</v>
      </c>
    </row>
    <row r="677" spans="1:2" x14ac:dyDescent="0.4">
      <c r="A677">
        <f t="shared" si="234"/>
        <v>4983.5</v>
      </c>
      <c r="B677">
        <f t="shared" si="233"/>
        <v>5000</v>
      </c>
    </row>
    <row r="678" spans="1:2" x14ac:dyDescent="0.4">
      <c r="A678">
        <f t="shared" si="234"/>
        <v>6283.5</v>
      </c>
      <c r="B678">
        <f t="shared" si="233"/>
        <v>6300</v>
      </c>
    </row>
    <row r="679" spans="1:2" x14ac:dyDescent="0.4">
      <c r="A679">
        <f t="shared" si="234"/>
        <v>7983.5</v>
      </c>
      <c r="B679">
        <f t="shared" si="233"/>
        <v>8000</v>
      </c>
    </row>
    <row r="680" spans="1:2" x14ac:dyDescent="0.4">
      <c r="A680">
        <f t="shared" si="234"/>
        <v>9983.5</v>
      </c>
      <c r="B680">
        <f t="shared" si="233"/>
        <v>10000</v>
      </c>
    </row>
    <row r="681" spans="1:2" x14ac:dyDescent="0.4">
      <c r="A681">
        <f t="shared" si="234"/>
        <v>12483.5</v>
      </c>
      <c r="B681">
        <f t="shared" si="233"/>
        <v>12500</v>
      </c>
    </row>
    <row r="682" spans="1:2" x14ac:dyDescent="0.4">
      <c r="A682">
        <f t="shared" si="234"/>
        <v>15983.5</v>
      </c>
      <c r="B682">
        <f t="shared" si="233"/>
        <v>16000</v>
      </c>
    </row>
    <row r="683" spans="1:2" x14ac:dyDescent="0.4">
      <c r="A683">
        <f t="shared" si="234"/>
        <v>19983.5</v>
      </c>
      <c r="B683">
        <f t="shared" si="233"/>
        <v>20000</v>
      </c>
    </row>
    <row r="684" spans="1:2" x14ac:dyDescent="0.4">
      <c r="A684">
        <f t="shared" si="234"/>
        <v>24983.5</v>
      </c>
      <c r="B684">
        <f t="shared" si="233"/>
        <v>25000</v>
      </c>
    </row>
    <row r="685" spans="1:2" x14ac:dyDescent="0.4">
      <c r="A685">
        <f t="shared" si="234"/>
        <v>31483.5</v>
      </c>
      <c r="B685">
        <f t="shared" si="233"/>
        <v>31500</v>
      </c>
    </row>
    <row r="686" spans="1:2" x14ac:dyDescent="0.4">
      <c r="A686">
        <f t="shared" si="234"/>
        <v>39983.5</v>
      </c>
      <c r="B686">
        <f t="shared" si="233"/>
        <v>40000</v>
      </c>
    </row>
    <row r="687" spans="1:2" x14ac:dyDescent="0.4">
      <c r="A687">
        <f t="shared" si="234"/>
        <v>49983.5</v>
      </c>
      <c r="B687">
        <f t="shared" si="233"/>
        <v>50000</v>
      </c>
    </row>
    <row r="688" spans="1:2" x14ac:dyDescent="0.4">
      <c r="A688">
        <f t="shared" si="234"/>
        <v>62983.5</v>
      </c>
      <c r="B688">
        <f t="shared" si="233"/>
        <v>63000</v>
      </c>
    </row>
    <row r="689" spans="1:2" x14ac:dyDescent="0.4">
      <c r="A689">
        <f t="shared" si="234"/>
        <v>79983.5</v>
      </c>
      <c r="B689">
        <f t="shared" si="233"/>
        <v>80000</v>
      </c>
    </row>
    <row r="690" spans="1:2" x14ac:dyDescent="0.4">
      <c r="A690">
        <f t="shared" si="234"/>
        <v>99983.5</v>
      </c>
      <c r="B690">
        <f t="shared" si="233"/>
        <v>100000</v>
      </c>
    </row>
  </sheetData>
  <phoneticPr fontId="1"/>
  <pageMargins left="0.7" right="0.7" top="0.75" bottom="0.75" header="0.3" footer="0.3"/>
  <ignoredErrors>
    <ignoredError sqref="L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048576"/>
  <sheetViews>
    <sheetView workbookViewId="0">
      <selection activeCell="A62" sqref="A62"/>
    </sheetView>
  </sheetViews>
  <sheetFormatPr defaultRowHeight="18.75" x14ac:dyDescent="0.4"/>
  <cols>
    <col min="1" max="1" width="13.125" customWidth="1"/>
    <col min="2" max="2" width="60.5" customWidth="1"/>
    <col min="3" max="3" width="8.25" customWidth="1"/>
    <col min="4" max="4" width="13" customWidth="1"/>
    <col min="6" max="6" width="9.5" bestFit="1" customWidth="1"/>
    <col min="9" max="9" width="10.875" customWidth="1"/>
  </cols>
  <sheetData>
    <row r="1" spans="1:19" ht="18.75" customHeight="1" x14ac:dyDescent="0.4"/>
    <row r="2" spans="1:19" ht="18.75" customHeight="1" x14ac:dyDescent="0.4">
      <c r="A2" s="170" t="s">
        <v>831</v>
      </c>
      <c r="B2" s="222"/>
      <c r="C2" s="122" t="s">
        <v>832</v>
      </c>
      <c r="E2" s="225" t="s">
        <v>833</v>
      </c>
      <c r="F2" s="225"/>
      <c r="G2" s="225"/>
      <c r="H2" s="225"/>
      <c r="I2" s="225"/>
      <c r="J2" s="225"/>
      <c r="K2" s="225"/>
      <c r="L2" s="225"/>
      <c r="M2" s="225"/>
      <c r="N2" s="225"/>
    </row>
    <row r="3" spans="1:19" ht="18.75" customHeight="1" x14ac:dyDescent="0.4">
      <c r="A3" s="223"/>
      <c r="B3" s="224"/>
      <c r="C3" s="122"/>
      <c r="E3" s="221" t="s">
        <v>834</v>
      </c>
      <c r="F3" s="221"/>
      <c r="G3" s="221"/>
      <c r="H3" s="221"/>
      <c r="I3" s="221"/>
      <c r="J3" s="221"/>
      <c r="K3" s="221"/>
      <c r="L3" s="221"/>
      <c r="M3" s="221"/>
      <c r="N3" s="221"/>
    </row>
    <row r="4" spans="1:19" ht="18.75" customHeight="1" x14ac:dyDescent="0.4">
      <c r="A4" s="41" t="s">
        <v>835</v>
      </c>
      <c r="B4" s="133" t="s">
        <v>836</v>
      </c>
      <c r="C4" s="122" t="s">
        <v>837</v>
      </c>
      <c r="E4" s="221" t="s">
        <v>838</v>
      </c>
      <c r="F4" s="221"/>
      <c r="G4" s="221"/>
      <c r="H4" s="221"/>
      <c r="I4" s="221"/>
      <c r="J4" s="221"/>
      <c r="K4" s="221"/>
      <c r="L4" s="221"/>
      <c r="M4" s="221"/>
      <c r="N4" s="221"/>
    </row>
    <row r="5" spans="1:19" ht="18.75" customHeight="1" x14ac:dyDescent="0.4">
      <c r="A5" s="41" t="s">
        <v>839</v>
      </c>
      <c r="B5" s="133" t="s">
        <v>840</v>
      </c>
      <c r="C5" s="122" t="s">
        <v>841</v>
      </c>
      <c r="E5" s="221" t="s">
        <v>842</v>
      </c>
      <c r="F5" s="221"/>
      <c r="G5" s="221"/>
      <c r="H5" s="221"/>
      <c r="I5" s="221"/>
      <c r="J5" s="221"/>
      <c r="K5" s="221"/>
      <c r="L5" s="221"/>
      <c r="M5" s="221"/>
      <c r="N5" s="221"/>
    </row>
    <row r="6" spans="1:19" ht="18.75" customHeight="1" x14ac:dyDescent="0.4">
      <c r="A6" s="41" t="s">
        <v>839</v>
      </c>
      <c r="B6" s="14" t="s">
        <v>843</v>
      </c>
      <c r="C6" s="18" t="s">
        <v>844</v>
      </c>
      <c r="E6" s="221" t="s">
        <v>845</v>
      </c>
      <c r="F6" s="221"/>
      <c r="G6" s="221"/>
      <c r="H6" s="221"/>
      <c r="I6" s="221"/>
      <c r="J6" s="221"/>
      <c r="K6" s="221"/>
      <c r="L6" s="221"/>
      <c r="M6" s="221"/>
      <c r="N6" s="221"/>
    </row>
    <row r="7" spans="1:19" ht="18.75" customHeight="1" x14ac:dyDescent="0.4">
      <c r="A7" s="41" t="s">
        <v>839</v>
      </c>
      <c r="B7" s="134" t="s">
        <v>846</v>
      </c>
      <c r="C7" s="134" t="s">
        <v>847</v>
      </c>
      <c r="O7" s="114"/>
      <c r="P7" s="114"/>
      <c r="Q7" s="114"/>
      <c r="R7" s="114"/>
      <c r="S7" s="114"/>
    </row>
    <row r="8" spans="1:19" ht="18.75" customHeight="1" x14ac:dyDescent="0.4">
      <c r="A8" s="41" t="s">
        <v>839</v>
      </c>
      <c r="B8" s="134" t="s">
        <v>846</v>
      </c>
      <c r="C8" s="134" t="s">
        <v>848</v>
      </c>
    </row>
    <row r="9" spans="1:19" ht="18.75" customHeight="1" x14ac:dyDescent="0.4">
      <c r="A9" s="41" t="s">
        <v>849</v>
      </c>
      <c r="B9" s="15" t="s">
        <v>850</v>
      </c>
      <c r="C9" s="131" t="s">
        <v>851</v>
      </c>
    </row>
    <row r="10" spans="1:19" ht="18.75" customHeight="1" x14ac:dyDescent="0.4">
      <c r="A10" s="41" t="s">
        <v>852</v>
      </c>
      <c r="B10" s="133" t="s">
        <v>853</v>
      </c>
      <c r="C10" s="122" t="s">
        <v>854</v>
      </c>
    </row>
    <row r="11" spans="1:19" ht="18.75" customHeight="1" x14ac:dyDescent="0.4">
      <c r="A11" s="41" t="s">
        <v>852</v>
      </c>
      <c r="B11" s="14" t="s">
        <v>855</v>
      </c>
      <c r="C11" s="122" t="s">
        <v>856</v>
      </c>
    </row>
    <row r="12" spans="1:19" ht="18.75" customHeight="1" x14ac:dyDescent="0.4">
      <c r="A12" s="41" t="s">
        <v>852</v>
      </c>
      <c r="B12" s="134" t="s">
        <v>857</v>
      </c>
      <c r="C12" s="19" t="s">
        <v>858</v>
      </c>
    </row>
    <row r="13" spans="1:19" ht="18.75" customHeight="1" x14ac:dyDescent="0.4">
      <c r="A13" s="41" t="s">
        <v>859</v>
      </c>
      <c r="B13" s="15" t="s">
        <v>860</v>
      </c>
      <c r="C13" s="122" t="s">
        <v>861</v>
      </c>
    </row>
    <row r="14" spans="1:19" ht="18.75" customHeight="1" x14ac:dyDescent="0.4">
      <c r="A14" s="41" t="s">
        <v>859</v>
      </c>
      <c r="B14" s="133" t="s">
        <v>862</v>
      </c>
      <c r="C14" s="122" t="s">
        <v>863</v>
      </c>
    </row>
    <row r="15" spans="1:19" ht="18.75" customHeight="1" x14ac:dyDescent="0.4">
      <c r="A15" s="41" t="s">
        <v>864</v>
      </c>
      <c r="B15" s="133" t="s">
        <v>865</v>
      </c>
      <c r="C15" s="122" t="s">
        <v>866</v>
      </c>
    </row>
    <row r="16" spans="1:19" ht="18.75" customHeight="1" x14ac:dyDescent="0.4">
      <c r="A16" s="41" t="s">
        <v>864</v>
      </c>
      <c r="B16" s="133" t="s">
        <v>867</v>
      </c>
      <c r="C16" s="122" t="s">
        <v>868</v>
      </c>
    </row>
    <row r="17" spans="1:3" ht="18.75" customHeight="1" x14ac:dyDescent="0.4">
      <c r="A17" s="41" t="s">
        <v>864</v>
      </c>
      <c r="B17" s="133" t="s">
        <v>869</v>
      </c>
      <c r="C17" s="122" t="s">
        <v>870</v>
      </c>
    </row>
    <row r="18" spans="1:3" ht="18.75" customHeight="1" x14ac:dyDescent="0.4">
      <c r="A18" s="41" t="s">
        <v>871</v>
      </c>
      <c r="B18" s="133" t="s">
        <v>872</v>
      </c>
      <c r="C18" s="122" t="s">
        <v>873</v>
      </c>
    </row>
    <row r="19" spans="1:3" ht="18.75" customHeight="1" x14ac:dyDescent="0.4">
      <c r="A19" s="41" t="s">
        <v>871</v>
      </c>
      <c r="B19" s="133" t="s">
        <v>874</v>
      </c>
      <c r="C19" s="122" t="s">
        <v>875</v>
      </c>
    </row>
    <row r="20" spans="1:3" ht="18.75" customHeight="1" x14ac:dyDescent="0.4">
      <c r="A20" s="41" t="s">
        <v>876</v>
      </c>
      <c r="B20" s="133" t="s">
        <v>877</v>
      </c>
      <c r="C20" s="122" t="s">
        <v>878</v>
      </c>
    </row>
    <row r="21" spans="1:3" ht="18.75" customHeight="1" x14ac:dyDescent="0.4">
      <c r="A21" s="41" t="s">
        <v>876</v>
      </c>
      <c r="B21" s="133" t="s">
        <v>879</v>
      </c>
      <c r="C21" s="122" t="s">
        <v>880</v>
      </c>
    </row>
    <row r="22" spans="1:3" ht="18.75" customHeight="1" x14ac:dyDescent="0.4">
      <c r="A22" s="41" t="s">
        <v>876</v>
      </c>
      <c r="B22" s="133" t="s">
        <v>881</v>
      </c>
      <c r="C22" s="122" t="s">
        <v>882</v>
      </c>
    </row>
    <row r="23" spans="1:3" ht="18.75" customHeight="1" x14ac:dyDescent="0.4">
      <c r="A23" s="41" t="s">
        <v>876</v>
      </c>
      <c r="B23" s="133" t="s">
        <v>883</v>
      </c>
      <c r="C23" s="122" t="s">
        <v>884</v>
      </c>
    </row>
    <row r="24" spans="1:3" ht="18.75" customHeight="1" x14ac:dyDescent="0.4">
      <c r="A24" s="41" t="s">
        <v>885</v>
      </c>
      <c r="B24" s="133" t="s">
        <v>886</v>
      </c>
      <c r="C24" s="122" t="s">
        <v>887</v>
      </c>
    </row>
    <row r="25" spans="1:3" ht="18.75" customHeight="1" x14ac:dyDescent="0.4">
      <c r="A25" s="41" t="s">
        <v>885</v>
      </c>
      <c r="B25" s="133" t="s">
        <v>888</v>
      </c>
      <c r="C25" s="122" t="s">
        <v>889</v>
      </c>
    </row>
    <row r="26" spans="1:3" ht="18.75" customHeight="1" x14ac:dyDescent="0.4">
      <c r="A26" s="41" t="s">
        <v>890</v>
      </c>
      <c r="B26" s="133" t="s">
        <v>891</v>
      </c>
      <c r="C26" s="122" t="s">
        <v>892</v>
      </c>
    </row>
    <row r="27" spans="1:3" ht="18.75" customHeight="1" x14ac:dyDescent="0.4">
      <c r="A27" s="41" t="s">
        <v>893</v>
      </c>
      <c r="B27" s="133" t="s">
        <v>894</v>
      </c>
      <c r="C27" s="122" t="s">
        <v>895</v>
      </c>
    </row>
    <row r="28" spans="1:3" ht="18.75" customHeight="1" x14ac:dyDescent="0.4">
      <c r="A28" s="41" t="s">
        <v>896</v>
      </c>
      <c r="B28" s="133" t="s">
        <v>897</v>
      </c>
      <c r="C28" s="122" t="s">
        <v>898</v>
      </c>
    </row>
    <row r="29" spans="1:3" ht="18.75" customHeight="1" x14ac:dyDescent="0.4">
      <c r="A29" s="41" t="s">
        <v>899</v>
      </c>
      <c r="B29" s="133" t="s">
        <v>900</v>
      </c>
      <c r="C29" s="122" t="s">
        <v>901</v>
      </c>
    </row>
    <row r="30" spans="1:3" ht="18.75" customHeight="1" x14ac:dyDescent="0.4">
      <c r="A30" s="41" t="s">
        <v>902</v>
      </c>
      <c r="B30" s="133" t="s">
        <v>903</v>
      </c>
      <c r="C30" s="122" t="s">
        <v>904</v>
      </c>
    </row>
    <row r="31" spans="1:3" ht="18.75" customHeight="1" x14ac:dyDescent="0.4">
      <c r="A31" s="41" t="s">
        <v>905</v>
      </c>
      <c r="B31" s="133" t="s">
        <v>906</v>
      </c>
      <c r="C31" s="122" t="s">
        <v>907</v>
      </c>
    </row>
    <row r="32" spans="1:3" ht="18.75" customHeight="1" x14ac:dyDescent="0.4">
      <c r="A32" s="41" t="s">
        <v>908</v>
      </c>
      <c r="B32" s="133" t="s">
        <v>909</v>
      </c>
      <c r="C32" s="122" t="s">
        <v>910</v>
      </c>
    </row>
    <row r="33" spans="1:3" ht="18.75" customHeight="1" x14ac:dyDescent="0.4">
      <c r="A33" s="41" t="s">
        <v>911</v>
      </c>
      <c r="B33" s="133" t="s">
        <v>912</v>
      </c>
      <c r="C33" s="122" t="s">
        <v>913</v>
      </c>
    </row>
    <row r="34" spans="1:3" ht="18.75" customHeight="1" x14ac:dyDescent="0.4">
      <c r="A34" s="41" t="s">
        <v>914</v>
      </c>
      <c r="B34" s="133" t="s">
        <v>915</v>
      </c>
      <c r="C34" s="122" t="s">
        <v>916</v>
      </c>
    </row>
    <row r="35" spans="1:3" ht="18.75" customHeight="1" x14ac:dyDescent="0.4">
      <c r="A35" s="41" t="s">
        <v>917</v>
      </c>
      <c r="B35" s="133" t="s">
        <v>918</v>
      </c>
      <c r="C35" s="122" t="s">
        <v>919</v>
      </c>
    </row>
    <row r="36" spans="1:3" ht="18.75" customHeight="1" x14ac:dyDescent="0.4">
      <c r="A36" s="41" t="s">
        <v>920</v>
      </c>
      <c r="B36" s="133" t="s">
        <v>921</v>
      </c>
      <c r="C36" s="122" t="s">
        <v>922</v>
      </c>
    </row>
    <row r="37" spans="1:3" ht="18.75" customHeight="1" x14ac:dyDescent="0.4">
      <c r="A37" s="41" t="s">
        <v>923</v>
      </c>
      <c r="B37" s="133" t="s">
        <v>924</v>
      </c>
      <c r="C37" s="122" t="s">
        <v>925</v>
      </c>
    </row>
    <row r="38" spans="1:3" ht="18.75" customHeight="1" x14ac:dyDescent="0.4">
      <c r="A38" s="41" t="s">
        <v>923</v>
      </c>
      <c r="B38" s="133" t="s">
        <v>926</v>
      </c>
      <c r="C38" s="122" t="s">
        <v>927</v>
      </c>
    </row>
    <row r="39" spans="1:3" ht="18.75" customHeight="1" x14ac:dyDescent="0.4">
      <c r="A39" s="41" t="s">
        <v>928</v>
      </c>
      <c r="B39" s="133" t="s">
        <v>929</v>
      </c>
      <c r="C39" s="122" t="s">
        <v>930</v>
      </c>
    </row>
    <row r="40" spans="1:3" ht="18.75" customHeight="1" x14ac:dyDescent="0.4">
      <c r="A40" s="41" t="s">
        <v>931</v>
      </c>
      <c r="B40" s="133" t="s">
        <v>932</v>
      </c>
      <c r="C40" s="122" t="s">
        <v>933</v>
      </c>
    </row>
    <row r="41" spans="1:3" ht="18.75" customHeight="1" x14ac:dyDescent="0.4">
      <c r="A41" s="41" t="s">
        <v>931</v>
      </c>
      <c r="B41" s="133" t="s">
        <v>934</v>
      </c>
      <c r="C41" s="122" t="s">
        <v>935</v>
      </c>
    </row>
    <row r="42" spans="1:3" x14ac:dyDescent="0.4">
      <c r="A42" s="41" t="s">
        <v>936</v>
      </c>
      <c r="B42" s="133" t="s">
        <v>937</v>
      </c>
      <c r="C42" s="122" t="s">
        <v>938</v>
      </c>
    </row>
    <row r="43" spans="1:3" x14ac:dyDescent="0.4">
      <c r="A43" s="41" t="s">
        <v>939</v>
      </c>
      <c r="B43" s="133" t="s">
        <v>940</v>
      </c>
      <c r="C43" s="122" t="s">
        <v>941</v>
      </c>
    </row>
    <row r="44" spans="1:3" x14ac:dyDescent="0.4">
      <c r="A44" s="41" t="s">
        <v>939</v>
      </c>
      <c r="B44" s="133" t="s">
        <v>942</v>
      </c>
      <c r="C44" s="122" t="s">
        <v>943</v>
      </c>
    </row>
    <row r="45" spans="1:3" x14ac:dyDescent="0.4">
      <c r="A45" s="41" t="s">
        <v>944</v>
      </c>
      <c r="B45" s="133" t="s">
        <v>945</v>
      </c>
      <c r="C45" s="122" t="s">
        <v>946</v>
      </c>
    </row>
    <row r="46" spans="1:3" x14ac:dyDescent="0.4">
      <c r="A46" s="41" t="s">
        <v>944</v>
      </c>
      <c r="B46" s="133" t="s">
        <v>947</v>
      </c>
      <c r="C46" s="122" t="s">
        <v>948</v>
      </c>
    </row>
    <row r="47" spans="1:3" x14ac:dyDescent="0.4">
      <c r="A47" s="41" t="s">
        <v>944</v>
      </c>
      <c r="B47" s="133" t="s">
        <v>949</v>
      </c>
      <c r="C47" s="122" t="s">
        <v>950</v>
      </c>
    </row>
    <row r="48" spans="1:3" x14ac:dyDescent="0.4">
      <c r="A48" s="41" t="s">
        <v>951</v>
      </c>
      <c r="B48" s="133" t="s">
        <v>952</v>
      </c>
      <c r="C48" s="122" t="s">
        <v>953</v>
      </c>
    </row>
    <row r="49" spans="1:4" x14ac:dyDescent="0.4">
      <c r="A49" s="41" t="s">
        <v>954</v>
      </c>
      <c r="B49" s="133" t="s">
        <v>955</v>
      </c>
      <c r="C49" s="122" t="s">
        <v>956</v>
      </c>
    </row>
    <row r="50" spans="1:4" x14ac:dyDescent="0.4">
      <c r="A50" s="41" t="s">
        <v>954</v>
      </c>
      <c r="B50" s="133" t="s">
        <v>957</v>
      </c>
      <c r="C50" s="122" t="s">
        <v>958</v>
      </c>
    </row>
    <row r="51" spans="1:4" x14ac:dyDescent="0.4">
      <c r="A51" s="41" t="s">
        <v>954</v>
      </c>
      <c r="B51" s="133" t="s">
        <v>959</v>
      </c>
      <c r="C51" s="122" t="s">
        <v>960</v>
      </c>
    </row>
    <row r="52" spans="1:4" x14ac:dyDescent="0.4">
      <c r="A52" s="41" t="s">
        <v>954</v>
      </c>
      <c r="B52" s="133" t="s">
        <v>961</v>
      </c>
      <c r="C52" s="122" t="s">
        <v>962</v>
      </c>
    </row>
    <row r="53" spans="1:4" x14ac:dyDescent="0.4">
      <c r="A53" s="41" t="s">
        <v>954</v>
      </c>
      <c r="B53" s="133" t="s">
        <v>963</v>
      </c>
      <c r="C53" s="122" t="s">
        <v>964</v>
      </c>
    </row>
    <row r="54" spans="1:4" x14ac:dyDescent="0.4">
      <c r="A54" s="41" t="s">
        <v>965</v>
      </c>
      <c r="B54" s="133" t="s">
        <v>966</v>
      </c>
      <c r="C54" s="122" t="s">
        <v>967</v>
      </c>
    </row>
    <row r="55" spans="1:4" x14ac:dyDescent="0.4">
      <c r="A55" s="41" t="s">
        <v>968</v>
      </c>
      <c r="B55" s="133" t="s">
        <v>969</v>
      </c>
      <c r="C55" s="122" t="s">
        <v>970</v>
      </c>
    </row>
    <row r="56" spans="1:4" x14ac:dyDescent="0.4">
      <c r="A56" s="41" t="s">
        <v>971</v>
      </c>
      <c r="B56" s="133" t="s">
        <v>972</v>
      </c>
      <c r="C56" s="122" t="s">
        <v>973</v>
      </c>
      <c r="D56" t="s">
        <v>974</v>
      </c>
    </row>
    <row r="57" spans="1:4" x14ac:dyDescent="0.4">
      <c r="A57" s="41" t="s">
        <v>975</v>
      </c>
      <c r="B57" s="133" t="s">
        <v>976</v>
      </c>
      <c r="C57" s="122" t="s">
        <v>977</v>
      </c>
    </row>
    <row r="58" spans="1:4" x14ac:dyDescent="0.4">
      <c r="A58" s="41" t="s">
        <v>983</v>
      </c>
      <c r="B58" s="133" t="s">
        <v>986</v>
      </c>
      <c r="C58" s="122" t="s">
        <v>987</v>
      </c>
    </row>
    <row r="59" spans="1:4" x14ac:dyDescent="0.4">
      <c r="A59" s="41" t="s">
        <v>983</v>
      </c>
      <c r="B59" s="136" t="s">
        <v>984</v>
      </c>
      <c r="C59" s="135" t="s">
        <v>985</v>
      </c>
    </row>
    <row r="60" spans="1:4" x14ac:dyDescent="0.4">
      <c r="A60" s="41" t="s">
        <v>988</v>
      </c>
      <c r="B60" s="133" t="s">
        <v>989</v>
      </c>
      <c r="C60" s="122" t="s">
        <v>990</v>
      </c>
    </row>
    <row r="61" spans="1:4" x14ac:dyDescent="0.4">
      <c r="A61" s="41" t="s">
        <v>992</v>
      </c>
      <c r="B61" s="137" t="s">
        <v>991</v>
      </c>
      <c r="C61" s="122" t="s">
        <v>993</v>
      </c>
    </row>
    <row r="62" spans="1:4" x14ac:dyDescent="0.4">
      <c r="A62" s="41"/>
      <c r="B62" s="133"/>
      <c r="C62" s="122"/>
    </row>
    <row r="63" spans="1:4" x14ac:dyDescent="0.4">
      <c r="A63" s="41"/>
      <c r="B63" s="133"/>
      <c r="C63" s="122"/>
    </row>
    <row r="64" spans="1:4" x14ac:dyDescent="0.4">
      <c r="A64" s="41"/>
      <c r="B64" s="133"/>
      <c r="C64" s="122"/>
    </row>
    <row r="65" spans="1:3" x14ac:dyDescent="0.4">
      <c r="A65" s="41"/>
      <c r="B65" s="133"/>
      <c r="C65" s="122"/>
    </row>
    <row r="66" spans="1:3" x14ac:dyDescent="0.4">
      <c r="A66" s="41"/>
      <c r="B66" s="133"/>
      <c r="C66" s="122"/>
    </row>
    <row r="67" spans="1:3" x14ac:dyDescent="0.4">
      <c r="A67" s="41"/>
      <c r="B67" s="133"/>
      <c r="C67" s="122"/>
    </row>
    <row r="68" spans="1:3" x14ac:dyDescent="0.4">
      <c r="A68" s="41"/>
      <c r="B68" s="133"/>
      <c r="C68" s="122"/>
    </row>
    <row r="69" spans="1:3" x14ac:dyDescent="0.4">
      <c r="A69" s="41"/>
      <c r="B69" s="133"/>
      <c r="C69" s="122"/>
    </row>
    <row r="70" spans="1:3" x14ac:dyDescent="0.4">
      <c r="A70" s="41"/>
      <c r="B70" s="133"/>
      <c r="C70" s="122"/>
    </row>
    <row r="71" spans="1:3" x14ac:dyDescent="0.4">
      <c r="A71" s="41"/>
      <c r="B71" s="133"/>
      <c r="C71" s="122"/>
    </row>
    <row r="72" spans="1:3" x14ac:dyDescent="0.4">
      <c r="A72" s="41"/>
      <c r="B72" s="133"/>
      <c r="C72" s="122"/>
    </row>
    <row r="73" spans="1:3" x14ac:dyDescent="0.4">
      <c r="A73" s="41"/>
      <c r="B73" s="133"/>
      <c r="C73" s="122"/>
    </row>
    <row r="74" spans="1:3" x14ac:dyDescent="0.4">
      <c r="A74" s="41"/>
      <c r="B74" s="133"/>
      <c r="C74" s="122"/>
    </row>
    <row r="75" spans="1:3" x14ac:dyDescent="0.4">
      <c r="A75" s="41"/>
      <c r="B75" s="133"/>
      <c r="C75" s="122"/>
    </row>
    <row r="76" spans="1:3" x14ac:dyDescent="0.4">
      <c r="A76" s="41"/>
      <c r="B76" s="133"/>
      <c r="C76" s="122"/>
    </row>
    <row r="77" spans="1:3" x14ac:dyDescent="0.4">
      <c r="A77" s="41"/>
      <c r="B77" s="133"/>
      <c r="C77" s="122"/>
    </row>
    <row r="78" spans="1:3" x14ac:dyDescent="0.4">
      <c r="A78" s="41"/>
      <c r="B78" s="133"/>
      <c r="C78" s="122"/>
    </row>
    <row r="79" spans="1:3" x14ac:dyDescent="0.4">
      <c r="A79" s="41"/>
      <c r="B79" s="133"/>
      <c r="C79" s="122"/>
    </row>
    <row r="80" spans="1:3" x14ac:dyDescent="0.4">
      <c r="A80" s="41"/>
      <c r="B80" s="133"/>
      <c r="C80" s="122"/>
    </row>
    <row r="81" spans="1:3" x14ac:dyDescent="0.4">
      <c r="A81" s="41"/>
      <c r="B81" s="133"/>
      <c r="C81" s="122"/>
    </row>
    <row r="82" spans="1:3" x14ac:dyDescent="0.4">
      <c r="A82" s="41"/>
      <c r="B82" s="133"/>
      <c r="C82" s="122"/>
    </row>
    <row r="83" spans="1:3" x14ac:dyDescent="0.4">
      <c r="A83" s="41"/>
      <c r="B83" s="133"/>
      <c r="C83" s="122"/>
    </row>
    <row r="84" spans="1:3" x14ac:dyDescent="0.4">
      <c r="A84" s="41"/>
      <c r="B84" s="133"/>
      <c r="C84" s="122"/>
    </row>
    <row r="85" spans="1:3" x14ac:dyDescent="0.4">
      <c r="A85" s="41"/>
      <c r="B85" s="133"/>
      <c r="C85" s="122"/>
    </row>
    <row r="86" spans="1:3" x14ac:dyDescent="0.4">
      <c r="A86" s="41"/>
      <c r="B86" s="133"/>
      <c r="C86" s="122"/>
    </row>
    <row r="87" spans="1:3" x14ac:dyDescent="0.4">
      <c r="A87" s="41"/>
      <c r="B87" s="133"/>
      <c r="C87" s="122"/>
    </row>
    <row r="88" spans="1:3" x14ac:dyDescent="0.4">
      <c r="A88" s="41"/>
      <c r="B88" s="133"/>
      <c r="C88" s="122"/>
    </row>
    <row r="89" spans="1:3" x14ac:dyDescent="0.4">
      <c r="A89" s="41"/>
      <c r="B89" s="133"/>
      <c r="C89" s="122"/>
    </row>
    <row r="90" spans="1:3" x14ac:dyDescent="0.4">
      <c r="A90" s="41"/>
      <c r="B90" s="133"/>
      <c r="C90" s="122"/>
    </row>
    <row r="91" spans="1:3" x14ac:dyDescent="0.4">
      <c r="A91" s="41"/>
      <c r="B91" s="133"/>
      <c r="C91" s="122"/>
    </row>
    <row r="92" spans="1:3" x14ac:dyDescent="0.4">
      <c r="A92" s="41"/>
      <c r="B92" s="133"/>
      <c r="C92" s="122"/>
    </row>
    <row r="93" spans="1:3" x14ac:dyDescent="0.4">
      <c r="A93" s="41"/>
      <c r="B93" s="133"/>
      <c r="C93" s="122"/>
    </row>
    <row r="94" spans="1:3" x14ac:dyDescent="0.4">
      <c r="A94" s="41"/>
      <c r="B94" s="133"/>
      <c r="C94" s="122"/>
    </row>
    <row r="95" spans="1:3" x14ac:dyDescent="0.4">
      <c r="A95" s="41"/>
      <c r="B95" s="133"/>
      <c r="C95" s="122"/>
    </row>
    <row r="96" spans="1:3" x14ac:dyDescent="0.4">
      <c r="A96" s="41"/>
      <c r="B96" s="133"/>
      <c r="C96" s="122"/>
    </row>
    <row r="97" spans="1:3" x14ac:dyDescent="0.4">
      <c r="A97" s="41"/>
      <c r="B97" s="133"/>
      <c r="C97" s="122"/>
    </row>
    <row r="98" spans="1:3" x14ac:dyDescent="0.4">
      <c r="A98" s="41"/>
      <c r="B98" s="133"/>
      <c r="C98" s="122"/>
    </row>
    <row r="99" spans="1:3" x14ac:dyDescent="0.4">
      <c r="A99" s="41"/>
      <c r="B99" s="133"/>
      <c r="C99" s="122"/>
    </row>
    <row r="100" spans="1:3" x14ac:dyDescent="0.4">
      <c r="A100" s="41"/>
      <c r="B100" s="133"/>
      <c r="C100" s="122"/>
    </row>
    <row r="1048576" ht="18.75" customHeight="1" x14ac:dyDescent="0.4"/>
  </sheetData>
  <mergeCells count="7">
    <mergeCell ref="E6:N6"/>
    <mergeCell ref="A2:B2"/>
    <mergeCell ref="A3:B3"/>
    <mergeCell ref="E5:N5"/>
    <mergeCell ref="E3:N3"/>
    <mergeCell ref="E2:N2"/>
    <mergeCell ref="E4:N4"/>
  </mergeCells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2章</vt:lpstr>
      <vt:lpstr>3章</vt:lpstr>
      <vt:lpstr>4,5章</vt:lpstr>
      <vt:lpstr>6章</vt:lpstr>
      <vt:lpstr>例題7.1~7.4</vt:lpstr>
      <vt:lpstr>例題7.5</vt:lpstr>
      <vt:lpstr>例題7.6~7.8</vt:lpstr>
      <vt:lpstr>第Ⅰ軸,第Ⅱ軸</vt:lpstr>
      <vt:lpstr>第Ⅲ軸</vt:lpstr>
      <vt:lpstr>自重</vt:lpstr>
      <vt:lpstr>クランクアーム</vt:lpstr>
      <vt:lpstr>9章</vt:lpstr>
      <vt:lpstr>A歯車&amp;C歯車</vt:lpstr>
      <vt:lpstr>B歯車</vt:lpstr>
      <vt:lpstr>D歯車</vt:lpstr>
      <vt:lpstr>例題11.1</vt:lpstr>
      <vt:lpstr>例題11.2</vt:lpstr>
      <vt:lpstr>例題11.3</vt:lpstr>
      <vt:lpstr>教科書付表</vt:lpstr>
      <vt:lpstr>教科書掲載表</vt:lpstr>
      <vt:lpstr>自動化シート</vt:lpstr>
      <vt:lpstr>リリースノート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kazuki</dc:creator>
  <cp:keywords/>
  <dc:description/>
  <cp:lastModifiedBy>kazuki</cp:lastModifiedBy>
  <cp:revision/>
  <dcterms:created xsi:type="dcterms:W3CDTF">2020-05-15T13:55:44Z</dcterms:created>
  <dcterms:modified xsi:type="dcterms:W3CDTF">2021-01-17T02:17:01Z</dcterms:modified>
  <cp:category/>
  <cp:contentStatus/>
</cp:coreProperties>
</file>